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F:\My Documents\WPR 2023 - Pruszków\AKK - 2023-12-12\"/>
    </mc:Choice>
  </mc:AlternateContent>
  <xr:revisionPtr revIDLastSave="0" documentId="13_ncr:1_{31F17AF8-A740-4327-9446-039131F90EAA}" xr6:coauthVersionLast="47" xr6:coauthVersionMax="47" xr10:uidLastSave="{00000000-0000-0000-0000-000000000000}"/>
  <bookViews>
    <workbookView xWindow="28680" yWindow="-120" windowWidth="29040" windowHeight="15720" tabRatio="539" xr2:uid="{00000000-000D-0000-FFFF-FFFF00000000}"/>
  </bookViews>
  <sheets>
    <sheet name="Słowniczek" sheetId="16" r:id="rId1"/>
    <sheet name="Założenia" sheetId="1" r:id="rId2"/>
    <sheet name="Opcje" sheetId="14" r:id="rId3"/>
    <sheet name="przychody" sheetId="27" r:id="rId4"/>
    <sheet name="Scenariusz bazowy" sheetId="17" r:id="rId5"/>
    <sheet name="Wariant konwencjonalny" sheetId="28" r:id="rId6"/>
    <sheet name="Wariant elektryczny" sheetId="29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IT">[1]RW_n!$B$54</definedName>
    <definedName name="Company">[2]Parameters!$F$7</definedName>
    <definedName name="Completo" localSheetId="4">#REF!,#REF!,#REF!,#REF!</definedName>
    <definedName name="Completo" localSheetId="6">#REF!,#REF!,#REF!,#REF!</definedName>
    <definedName name="Completo" localSheetId="5">#REF!,#REF!,#REF!,#REF!</definedName>
    <definedName name="Completo">#REF!,#REF!,#REF!,#REF!</definedName>
    <definedName name="convCA" localSheetId="4">#REF!</definedName>
    <definedName name="convCA" localSheetId="6">#REF!</definedName>
    <definedName name="convCA" localSheetId="5">#REF!</definedName>
    <definedName name="convCA">#REF!</definedName>
    <definedName name="CRITICAL2CAPEX" localSheetId="6">#REF!</definedName>
    <definedName name="CRITICAL2CAPEX" localSheetId="5">#REF!</definedName>
    <definedName name="CRITICAL2CAPEX">#REF!</definedName>
    <definedName name="CRITICAL2DEMAND" localSheetId="6">#REF!</definedName>
    <definedName name="CRITICAL2DEMAND" localSheetId="5">#REF!</definedName>
    <definedName name="CRITICAL2DEMAND">#REF!</definedName>
    <definedName name="CRITICAL2DIESEL" localSheetId="6">#REF!</definedName>
    <definedName name="CRITICAL2DIESEL" localSheetId="5">#REF!</definedName>
    <definedName name="CRITICAL2DIESEL">#REF!</definedName>
    <definedName name="CRITICAL2ENERGY" localSheetId="6">#REF!</definedName>
    <definedName name="CRITICAL2ENERGY" localSheetId="5">#REF!</definedName>
    <definedName name="CRITICAL2ENERGY">#REF!</definedName>
    <definedName name="CRITICAL2OPEX" localSheetId="6">#REF!</definedName>
    <definedName name="CRITICAL2OPEX" localSheetId="5">#REF!</definedName>
    <definedName name="CRITICAL2OPEX">#REF!</definedName>
    <definedName name="CRITICAL2PRICE" localSheetId="6">#REF!</definedName>
    <definedName name="CRITICAL2PRICE" localSheetId="5">#REF!</definedName>
    <definedName name="CRITICAL2PRICE">#REF!</definedName>
    <definedName name="CRITICAL2TIME" localSheetId="6">#REF!</definedName>
    <definedName name="CRITICAL2TIME" localSheetId="5">#REF!</definedName>
    <definedName name="CRITICAL2TIME">#REF!</definedName>
    <definedName name="CRITICAL2WAGES" localSheetId="6">#REF!</definedName>
    <definedName name="CRITICAL2WAGES" localSheetId="5">#REF!</definedName>
    <definedName name="CRITICAL2WAGES">#REF!</definedName>
    <definedName name="CRITICAL3CAPEX" localSheetId="6">#REF!</definedName>
    <definedName name="CRITICAL3CAPEX" localSheetId="5">#REF!</definedName>
    <definedName name="CRITICAL3CAPEX">#REF!</definedName>
    <definedName name="CRITICAL3DEMAND" localSheetId="6">#REF!</definedName>
    <definedName name="CRITICAL3DEMAND" localSheetId="5">#REF!</definedName>
    <definedName name="CRITICAL3DEMAND">#REF!</definedName>
    <definedName name="CRITICAL3DIESEL" localSheetId="6">#REF!</definedName>
    <definedName name="CRITICAL3DIESEL" localSheetId="5">#REF!</definedName>
    <definedName name="CRITICAL3DIESEL">#REF!</definedName>
    <definedName name="CRITICAL3ENERGY" localSheetId="6">#REF!</definedName>
    <definedName name="CRITICAL3ENERGY" localSheetId="5">#REF!</definedName>
    <definedName name="CRITICAL3ENERGY">#REF!</definedName>
    <definedName name="CRITICAL3OPEX" localSheetId="6">#REF!</definedName>
    <definedName name="CRITICAL3OPEX" localSheetId="5">#REF!</definedName>
    <definedName name="CRITICAL3OPEX">#REF!</definedName>
    <definedName name="CRITICAL3PRICE" localSheetId="6">#REF!</definedName>
    <definedName name="CRITICAL3PRICE" localSheetId="5">#REF!</definedName>
    <definedName name="CRITICAL3PRICE">#REF!</definedName>
    <definedName name="CRITICAL3TIME" localSheetId="6">#REF!</definedName>
    <definedName name="CRITICAL3TIME" localSheetId="5">#REF!</definedName>
    <definedName name="CRITICAL3TIME">#REF!</definedName>
    <definedName name="CRITICALCAPEX" localSheetId="6">#REF!</definedName>
    <definedName name="CRITICALCAPEX" localSheetId="5">#REF!</definedName>
    <definedName name="CRITICALCAPEX">#REF!</definedName>
    <definedName name="CRITICALDEMAND" localSheetId="6">#REF!</definedName>
    <definedName name="CRITICALDEMAND" localSheetId="5">#REF!</definedName>
    <definedName name="CRITICALDEMAND">#REF!</definedName>
    <definedName name="CRITICALDIESEL" localSheetId="6">#REF!</definedName>
    <definedName name="CRITICALDIESEL" localSheetId="5">#REF!</definedName>
    <definedName name="CRITICALDIESEL">#REF!</definedName>
    <definedName name="CRITICALENERGY" localSheetId="6">#REF!</definedName>
    <definedName name="CRITICALENERGY" localSheetId="5">#REF!</definedName>
    <definedName name="CRITICALENERGY">#REF!</definedName>
    <definedName name="CRITICALOPEX" localSheetId="6">#REF!</definedName>
    <definedName name="CRITICALOPEX" localSheetId="5">#REF!</definedName>
    <definedName name="CRITICALOPEX">#REF!</definedName>
    <definedName name="CRITICALPRICE" localSheetId="6">#REF!</definedName>
    <definedName name="CRITICALPRICE" localSheetId="5">#REF!</definedName>
    <definedName name="CRITICALPRICE">#REF!</definedName>
    <definedName name="CRITICALTIME" localSheetId="6">#REF!</definedName>
    <definedName name="CRITICALTIME" localSheetId="5">#REF!</definedName>
    <definedName name="CRITICALTIME">#REF!</definedName>
    <definedName name="CRITICALWAGES" localSheetId="6">#REF!</definedName>
    <definedName name="CRITICALWAGES" localSheetId="5">#REF!</definedName>
    <definedName name="CRITICALWAGES">#REF!</definedName>
    <definedName name="croissinter" localSheetId="4">#REF!</definedName>
    <definedName name="croissinter" localSheetId="6">#REF!</definedName>
    <definedName name="croissinter" localSheetId="5">#REF!</definedName>
    <definedName name="croissinter">#REF!</definedName>
    <definedName name="CUYANA_COMPL" localSheetId="4">#REF!,#REF!,#REF!,#REF!</definedName>
    <definedName name="CUYANA_COMPL" localSheetId="6">#REF!,#REF!,#REF!,#REF!</definedName>
    <definedName name="CUYANA_COMPL" localSheetId="5">#REF!,#REF!,#REF!,#REF!</definedName>
    <definedName name="CUYANA_COMPL">#REF!,#REF!,#REF!,#REF!</definedName>
    <definedName name="d" localSheetId="4">#REF!</definedName>
    <definedName name="d" localSheetId="6">#REF!</definedName>
    <definedName name="d" localSheetId="5">#REF!</definedName>
    <definedName name="date">'[3]mode d''emploi'!$C$7</definedName>
    <definedName name="decalage">[2]Parameters!$I$13</definedName>
    <definedName name="dernier">[2]Parameters!$F$10</definedName>
    <definedName name="Dett_inv_Monit" localSheetId="4">#REF!</definedName>
    <definedName name="Dett_inv_Monit" localSheetId="6">#REF!</definedName>
    <definedName name="Dett_inv_Monit" localSheetId="5">#REF!</definedName>
    <definedName name="Dett_inv_Monit">#REF!</definedName>
    <definedName name="Dett_Investim_BP" localSheetId="4">#REF!</definedName>
    <definedName name="Dett_Investim_BP" localSheetId="6">#REF!</definedName>
    <definedName name="Dett_Investim_BP" localSheetId="5">#REF!</definedName>
    <definedName name="Dett_Investim_BP">#REF!</definedName>
    <definedName name="devise">[2]Parameters!$F$8</definedName>
    <definedName name="final">[2]Parameters!$F$13</definedName>
    <definedName name="Format" localSheetId="4">#REF!</definedName>
    <definedName name="Format" localSheetId="6">#REF!</definedName>
    <definedName name="Format" localSheetId="5">#REF!</definedName>
    <definedName name="Format">#REF!</definedName>
    <definedName name="GLOBAL" localSheetId="6">#REF!</definedName>
    <definedName name="GLOBAL" localSheetId="5">#REF!</definedName>
    <definedName name="GLOBAL">#REF!</definedName>
    <definedName name="Globale_bp" localSheetId="4">#REF!,#REF!,#REF!,#REF!,#REF!,#REF!,#REF!</definedName>
    <definedName name="Globale_bp" localSheetId="6">#REF!,#REF!,#REF!,#REF!,#REF!,#REF!,#REF!</definedName>
    <definedName name="Globale_bp" localSheetId="5">#REF!,#REF!,#REF!,#REF!,#REF!,#REF!,#REF!</definedName>
    <definedName name="Globale_bp">#REF!,#REF!,#REF!,#REF!,#REF!,#REF!,#REF!</definedName>
    <definedName name="globale_grafici" localSheetId="4">#REF!,#REF!,#REF!,#REF!,#REF!,#REF!</definedName>
    <definedName name="globale_grafici" localSheetId="6">#REF!,#REF!,#REF!,#REF!,#REF!,#REF!</definedName>
    <definedName name="globale_grafici" localSheetId="5">#REF!,#REF!,#REF!,#REF!,#REF!,#REF!</definedName>
    <definedName name="globale_grafici">#REF!,#REF!,#REF!,#REF!,#REF!,#REF!</definedName>
    <definedName name="Globale_monitoraggio" localSheetId="4">#REF!,#REF!,#REF!,#REF!,#REF!,#REF!,#REF!</definedName>
    <definedName name="Globale_monitoraggio" localSheetId="6">#REF!,#REF!,#REF!,#REF!,#REF!,#REF!,#REF!</definedName>
    <definedName name="Globale_monitoraggio" localSheetId="5">#REF!,#REF!,#REF!,#REF!,#REF!,#REF!,#REF!</definedName>
    <definedName name="Globale_monitoraggio">#REF!,#REF!,#REF!,#REF!,#REF!,#REF!,#REF!</definedName>
    <definedName name="Globale_scostamenti" localSheetId="4">#REF!,#REF!,#REF!,#REF!,#REF!</definedName>
    <definedName name="Globale_scostamenti" localSheetId="6">#REF!,#REF!,#REF!,#REF!,#REF!</definedName>
    <definedName name="Globale_scostamenti" localSheetId="5">#REF!,#REF!,#REF!,#REF!,#REF!</definedName>
    <definedName name="Globale_scostamenti">#REF!,#REF!,#REF!,#REF!,#REF!</definedName>
    <definedName name="IK" localSheetId="4">#REF!</definedName>
    <definedName name="IK" localSheetId="6">#REF!</definedName>
    <definedName name="IK" localSheetId="5">#REF!</definedName>
    <definedName name="monnaie">'[4]mode d''emploi'!$C$34</definedName>
    <definedName name="naenpv" localSheetId="6">#REF!,#REF!,#REF!,#REF!,#REF!,#REF!,#REF!,#REF!</definedName>
    <definedName name="naenpv" localSheetId="5">#REF!,#REF!,#REF!,#REF!,#REF!,#REF!,#REF!,#REF!</definedName>
    <definedName name="naenpv">#REF!,#REF!,#REF!,#REF!,#REF!,#REF!,#REF!,#REF!</definedName>
    <definedName name="nafnpv" localSheetId="6">#REF!,#REF!,#REF!,#REF!,#REF!,#REF!,#REF!,#REF!</definedName>
    <definedName name="nafnpv" localSheetId="5">#REF!,#REF!,#REF!,#REF!,#REF!,#REF!,#REF!,#REF!</definedName>
    <definedName name="nafnpv">#REF!,#REF!,#REF!,#REF!,#REF!,#REF!,#REF!,#REF!</definedName>
    <definedName name="name">'[5]user guide'!$D$14</definedName>
    <definedName name="NPV" localSheetId="4">'[6]Sales Sphinx'!#REF!</definedName>
    <definedName name="NPV" localSheetId="6">'[6]Sales Sphinx'!#REF!</definedName>
    <definedName name="NPV" localSheetId="5">'[6]Sales Sphinx'!#REF!</definedName>
    <definedName name="NPV">'[6]Sales Sphinx'!#REF!</definedName>
    <definedName name="NPV2BAZA" localSheetId="6">#REF!</definedName>
    <definedName name="NPV2BAZA" localSheetId="5">#REF!</definedName>
    <definedName name="NPV2BAZA">#REF!</definedName>
    <definedName name="NPV2CAPEX" localSheetId="6">#REF!</definedName>
    <definedName name="NPV2CAPEX" localSheetId="5">#REF!</definedName>
    <definedName name="NPV2CAPEX">#REF!</definedName>
    <definedName name="NPV2COPY" localSheetId="6">#REF!</definedName>
    <definedName name="NPV2COPY" localSheetId="5">#REF!</definedName>
    <definedName name="NPV2COPY">#REF!</definedName>
    <definedName name="NPV2DEMAND" localSheetId="6">#REF!</definedName>
    <definedName name="NPV2DEMAND" localSheetId="5">#REF!</definedName>
    <definedName name="NPV2DEMAND">#REF!</definedName>
    <definedName name="NPV2ENERGY" localSheetId="6">#REF!</definedName>
    <definedName name="NPV2ENERGY" localSheetId="5">#REF!</definedName>
    <definedName name="NPV2ENERGY">#REF!</definedName>
    <definedName name="NPV2INVEST" localSheetId="6">#REF!</definedName>
    <definedName name="NPV2INVEST" localSheetId="5">#REF!</definedName>
    <definedName name="NPV2INVEST">#REF!</definedName>
    <definedName name="NPV2PRICE" localSheetId="6">#REF!</definedName>
    <definedName name="NPV2PRICE" localSheetId="5">#REF!</definedName>
    <definedName name="NPV2PRICE">#REF!</definedName>
    <definedName name="NPV2WAGES" localSheetId="6">#REF!</definedName>
    <definedName name="NPV2WAGES" localSheetId="5">#REF!</definedName>
    <definedName name="NPV2WAGES">#REF!</definedName>
    <definedName name="NPVBAZA" localSheetId="6">#REF!</definedName>
    <definedName name="NPVBAZA" localSheetId="5">#REF!</definedName>
    <definedName name="NPVBAZA">#REF!</definedName>
    <definedName name="NPVCAPEX" localSheetId="6">#REF!</definedName>
    <definedName name="NPVCAPEX" localSheetId="5">#REF!</definedName>
    <definedName name="NPVCAPEX">#REF!</definedName>
    <definedName name="NPVCAPEX15" localSheetId="6">#REF!</definedName>
    <definedName name="NPVCAPEX15" localSheetId="5">#REF!</definedName>
    <definedName name="NPVCAPEX15">#REF!</definedName>
    <definedName name="NPVCAPEX25" localSheetId="6">#REF!</definedName>
    <definedName name="NPVCAPEX25" localSheetId="5">#REF!</definedName>
    <definedName name="NPVCAPEX25">#REF!</definedName>
    <definedName name="NPVCAPEXM25" localSheetId="6">#REF!</definedName>
    <definedName name="NPVCAPEXM25" localSheetId="5">#REF!</definedName>
    <definedName name="NPVCAPEXM25">#REF!</definedName>
    <definedName name="NPVCOPY" localSheetId="6">#REF!</definedName>
    <definedName name="NPVCOPY" localSheetId="5">#REF!</definedName>
    <definedName name="NPVCOPY">#REF!</definedName>
    <definedName name="NPVDEMAND" localSheetId="6">#REF!</definedName>
    <definedName name="NPVDEMAND" localSheetId="5">#REF!</definedName>
    <definedName name="NPVDEMAND">#REF!</definedName>
    <definedName name="NPVDEMAND15" localSheetId="6">#REF!</definedName>
    <definedName name="NPVDEMAND15" localSheetId="5">#REF!</definedName>
    <definedName name="_xlnm.Print_Area" localSheetId="4">'Scenariusz bazowy'!$B$1:$T$107</definedName>
    <definedName name="_xlnm.Print_Area" localSheetId="6">'Wariant elektryczny'!$B$1:$T$180</definedName>
    <definedName name="_xlnm.Print_Area" localSheetId="5">'Wariant konwencjonalny'!$B$1:$T$180</definedName>
    <definedName name="occupancy" localSheetId="6">Założenia!#REF!</definedName>
    <definedName name="occupancy" localSheetId="5">Założenia!#REF!</definedName>
    <definedName name="occupancy">Założenia!#REF!</definedName>
    <definedName name="OPEX" localSheetId="6">#REF!</definedName>
    <definedName name="OPEX" localSheetId="5">#REF!</definedName>
    <definedName name="OPEX">#REF!</definedName>
    <definedName name="OPEXCHANGE" localSheetId="6">#REF!</definedName>
    <definedName name="OPEXCHANGE" localSheetId="5">#REF!</definedName>
    <definedName name="OPEXCHANGE">#REF!</definedName>
    <definedName name="OPEXCHANGE2" localSheetId="6">#REF!</definedName>
    <definedName name="OPEXCHANGE2" localSheetId="5">#REF!</definedName>
    <definedName name="OPEXCHANGE2">#REF!</definedName>
    <definedName name="OPEXCHANGE3" localSheetId="6">#REF!</definedName>
    <definedName name="OPEXCHANGE3" localSheetId="5">#REF!</definedName>
    <definedName name="OPEXCHANGE3">#REF!</definedName>
    <definedName name="OPEXCHANGE4" localSheetId="6">#REF!</definedName>
    <definedName name="OPEXCHANGE4" localSheetId="5">#REF!</definedName>
    <definedName name="OPEXCHANGE4">#REF!</definedName>
    <definedName name="OPEXSCENARIO" localSheetId="6">#REF!</definedName>
    <definedName name="OPEXSCENARIO" localSheetId="5">#REF!</definedName>
    <definedName name="OPEXSCENARIO">#REF!</definedName>
    <definedName name="OPEXSCENARIO1" localSheetId="6">#REF!</definedName>
    <definedName name="OPEXSCENARIO1" localSheetId="5">#REF!</definedName>
    <definedName name="OPEXSCENARIO1">#REF!</definedName>
    <definedName name="OPEXSCENARIO10" localSheetId="6">#REF!</definedName>
    <definedName name="OPEXSCENARIO10" localSheetId="5">#REF!</definedName>
    <definedName name="OPEXSCENARIO10">#REF!</definedName>
    <definedName name="OPEXSCENARIO11" localSheetId="6">#REF!</definedName>
    <definedName name="OPEXSCENARIO11" localSheetId="5">#REF!</definedName>
    <definedName name="OPEXSCENARIO11">#REF!</definedName>
    <definedName name="PIANO_QUINQ" localSheetId="4">#REF!,#REF!,#REF!,#REF!,#REF!,#REF!</definedName>
    <definedName name="PIANO_QUINQ" localSheetId="6">#REF!,#REF!,#REF!,#REF!,#REF!,#REF!</definedName>
    <definedName name="PIANO_QUINQ" localSheetId="5">#REF!,#REF!,#REF!,#REF!,#REF!,#REF!</definedName>
    <definedName name="PIANO_QUINQ">#REF!,#REF!,#REF!,#REF!,#REF!,#REF!</definedName>
    <definedName name="ref">'[5]user guide'!$D$13</definedName>
    <definedName name="_xlnm.Print_Titles" localSheetId="4">'Scenariusz bazowy'!$B:$C</definedName>
    <definedName name="_xlnm.Print_Titles" localSheetId="6">'Wariant elektryczny'!$B:$C</definedName>
    <definedName name="_xlnm.Print_Titles" localSheetId="5">'Wariant konwencjonalny'!$B:$C</definedName>
    <definedName name="unité">'[4]mode d''emploi'!$D$34</definedName>
    <definedName name="WACC">[2]Parameters!$F$33</definedName>
    <definedName name="wrn.Standard." hidden="1">{#N/A,#N/A,TRUE,"P&amp;L";#N/A,#N/A,TRUE,"Balance sheet";#N/A,#N/A,TRUE,"Cashflow";#N/A,#N/A,TRUE,"Profitability";#N/A,#N/A,TRUE,"Analysis of profitability"}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29" l="1"/>
  <c r="J32" i="29"/>
  <c r="K32" i="29"/>
  <c r="L32" i="29"/>
  <c r="M32" i="29"/>
  <c r="N32" i="29"/>
  <c r="O32" i="29"/>
  <c r="P32" i="29"/>
  <c r="Q32" i="29"/>
  <c r="R32" i="29"/>
  <c r="S32" i="29"/>
  <c r="T32" i="29"/>
  <c r="H32" i="29"/>
  <c r="G32" i="29"/>
  <c r="F32" i="29"/>
  <c r="E32" i="29"/>
  <c r="I32" i="28"/>
  <c r="J32" i="28"/>
  <c r="K32" i="28"/>
  <c r="L32" i="28"/>
  <c r="M32" i="28"/>
  <c r="N32" i="28"/>
  <c r="O32" i="28"/>
  <c r="P32" i="28"/>
  <c r="Q32" i="28"/>
  <c r="R32" i="28"/>
  <c r="S32" i="28"/>
  <c r="T32" i="28"/>
  <c r="H32" i="28"/>
  <c r="G32" i="28"/>
  <c r="F32" i="28"/>
  <c r="E32" i="28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E32" i="17"/>
  <c r="F35" i="14"/>
  <c r="G35" i="14"/>
  <c r="H35" i="14"/>
  <c r="I35" i="14"/>
  <c r="J35" i="14"/>
  <c r="K35" i="14"/>
  <c r="L35" i="14"/>
  <c r="M35" i="14"/>
  <c r="M39" i="14" s="1"/>
  <c r="N35" i="14"/>
  <c r="O35" i="14"/>
  <c r="P35" i="14"/>
  <c r="Q35" i="14"/>
  <c r="R35" i="14"/>
  <c r="S35" i="14"/>
  <c r="T35" i="14"/>
  <c r="F36" i="14"/>
  <c r="F39" i="14" s="1"/>
  <c r="G36" i="14"/>
  <c r="H36" i="14"/>
  <c r="H39" i="14" s="1"/>
  <c r="I36" i="14"/>
  <c r="J36" i="14"/>
  <c r="K36" i="14"/>
  <c r="L36" i="14"/>
  <c r="L39" i="14" s="1"/>
  <c r="M36" i="14"/>
  <c r="N36" i="14"/>
  <c r="N39" i="14" s="1"/>
  <c r="O36" i="14"/>
  <c r="P36" i="14"/>
  <c r="P39" i="14" s="1"/>
  <c r="Q36" i="14"/>
  <c r="R36" i="14"/>
  <c r="S36" i="14"/>
  <c r="T36" i="14"/>
  <c r="T39" i="14" s="1"/>
  <c r="F37" i="14"/>
  <c r="G37" i="14"/>
  <c r="G39" i="14" s="1"/>
  <c r="H37" i="14"/>
  <c r="I37" i="14"/>
  <c r="J37" i="14"/>
  <c r="K37" i="14"/>
  <c r="L37" i="14"/>
  <c r="M37" i="14"/>
  <c r="N37" i="14"/>
  <c r="O37" i="14"/>
  <c r="O39" i="14" s="1"/>
  <c r="P37" i="14"/>
  <c r="Q37" i="14"/>
  <c r="R37" i="14"/>
  <c r="S37" i="14"/>
  <c r="T37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I39" i="14"/>
  <c r="J39" i="14"/>
  <c r="K39" i="14"/>
  <c r="Q39" i="14"/>
  <c r="R39" i="14"/>
  <c r="S39" i="14"/>
  <c r="E39" i="14"/>
  <c r="E36" i="14"/>
  <c r="D36" i="14"/>
  <c r="H80" i="14"/>
  <c r="D68" i="14"/>
  <c r="J68" i="14" s="1"/>
  <c r="I68" i="14"/>
  <c r="Q68" i="14"/>
  <c r="O337" i="1"/>
  <c r="G337" i="1"/>
  <c r="O335" i="1"/>
  <c r="G335" i="1"/>
  <c r="O333" i="1"/>
  <c r="G333" i="1"/>
  <c r="G320" i="1"/>
  <c r="O293" i="1"/>
  <c r="G293" i="1"/>
  <c r="R291" i="1"/>
  <c r="O291" i="1"/>
  <c r="G291" i="1"/>
  <c r="R289" i="1"/>
  <c r="O289" i="1"/>
  <c r="J289" i="1"/>
  <c r="G289" i="1"/>
  <c r="M249" i="1"/>
  <c r="E249" i="1"/>
  <c r="R247" i="1"/>
  <c r="M247" i="1"/>
  <c r="J247" i="1"/>
  <c r="E247" i="1"/>
  <c r="R245" i="1"/>
  <c r="J245" i="1"/>
  <c r="R232" i="1"/>
  <c r="M232" i="1"/>
  <c r="J232" i="1"/>
  <c r="E232" i="1"/>
  <c r="E333" i="1"/>
  <c r="F333" i="1"/>
  <c r="H333" i="1"/>
  <c r="I333" i="1"/>
  <c r="J333" i="1"/>
  <c r="K333" i="1"/>
  <c r="L333" i="1"/>
  <c r="M333" i="1"/>
  <c r="N333" i="1"/>
  <c r="P333" i="1"/>
  <c r="Q333" i="1"/>
  <c r="R333" i="1"/>
  <c r="S333" i="1"/>
  <c r="M335" i="1"/>
  <c r="E335" i="1"/>
  <c r="F335" i="1"/>
  <c r="H335" i="1"/>
  <c r="I335" i="1"/>
  <c r="J335" i="1"/>
  <c r="K335" i="1"/>
  <c r="L335" i="1"/>
  <c r="N335" i="1"/>
  <c r="P335" i="1"/>
  <c r="Q335" i="1"/>
  <c r="R335" i="1"/>
  <c r="S335" i="1"/>
  <c r="F337" i="1"/>
  <c r="E337" i="1"/>
  <c r="H337" i="1"/>
  <c r="I337" i="1"/>
  <c r="J337" i="1"/>
  <c r="K337" i="1"/>
  <c r="L337" i="1"/>
  <c r="M337" i="1"/>
  <c r="N337" i="1"/>
  <c r="P337" i="1"/>
  <c r="Q337" i="1"/>
  <c r="R337" i="1"/>
  <c r="S337" i="1"/>
  <c r="E320" i="1"/>
  <c r="F320" i="1"/>
  <c r="H320" i="1"/>
  <c r="I320" i="1"/>
  <c r="J320" i="1"/>
  <c r="K320" i="1"/>
  <c r="L320" i="1"/>
  <c r="M320" i="1"/>
  <c r="O320" i="1"/>
  <c r="P320" i="1"/>
  <c r="Q320" i="1"/>
  <c r="R320" i="1"/>
  <c r="S320" i="1"/>
  <c r="E245" i="1"/>
  <c r="F245" i="1"/>
  <c r="G245" i="1"/>
  <c r="H245" i="1"/>
  <c r="I245" i="1"/>
  <c r="K245" i="1"/>
  <c r="L245" i="1"/>
  <c r="M245" i="1"/>
  <c r="N245" i="1"/>
  <c r="O245" i="1"/>
  <c r="P245" i="1"/>
  <c r="Q245" i="1"/>
  <c r="S245" i="1"/>
  <c r="F247" i="1"/>
  <c r="G247" i="1"/>
  <c r="H247" i="1"/>
  <c r="I247" i="1"/>
  <c r="K247" i="1"/>
  <c r="L247" i="1"/>
  <c r="N247" i="1"/>
  <c r="O247" i="1"/>
  <c r="P247" i="1"/>
  <c r="Q247" i="1"/>
  <c r="S247" i="1"/>
  <c r="F249" i="1"/>
  <c r="G249" i="1"/>
  <c r="H249" i="1"/>
  <c r="I249" i="1"/>
  <c r="J249" i="1"/>
  <c r="K249" i="1"/>
  <c r="L249" i="1"/>
  <c r="N249" i="1"/>
  <c r="O249" i="1"/>
  <c r="P249" i="1"/>
  <c r="Q249" i="1"/>
  <c r="R249" i="1"/>
  <c r="S249" i="1"/>
  <c r="F232" i="1"/>
  <c r="G232" i="1"/>
  <c r="H232" i="1"/>
  <c r="I232" i="1"/>
  <c r="K232" i="1"/>
  <c r="L232" i="1"/>
  <c r="N232" i="1"/>
  <c r="O232" i="1"/>
  <c r="P232" i="1"/>
  <c r="Q232" i="1"/>
  <c r="S232" i="1"/>
  <c r="E289" i="1"/>
  <c r="F289" i="1"/>
  <c r="H289" i="1"/>
  <c r="I289" i="1"/>
  <c r="K289" i="1"/>
  <c r="L289" i="1"/>
  <c r="M289" i="1"/>
  <c r="N289" i="1"/>
  <c r="P289" i="1"/>
  <c r="Q289" i="1"/>
  <c r="S289" i="1"/>
  <c r="E291" i="1"/>
  <c r="F291" i="1"/>
  <c r="H291" i="1"/>
  <c r="I291" i="1"/>
  <c r="J291" i="1"/>
  <c r="K291" i="1"/>
  <c r="L291" i="1"/>
  <c r="M291" i="1"/>
  <c r="N291" i="1"/>
  <c r="P291" i="1"/>
  <c r="Q291" i="1"/>
  <c r="S291" i="1"/>
  <c r="E293" i="1"/>
  <c r="F293" i="1"/>
  <c r="H293" i="1"/>
  <c r="I293" i="1"/>
  <c r="J293" i="1"/>
  <c r="K293" i="1"/>
  <c r="L293" i="1"/>
  <c r="M293" i="1"/>
  <c r="N293" i="1"/>
  <c r="P293" i="1"/>
  <c r="Q293" i="1"/>
  <c r="R293" i="1"/>
  <c r="S293" i="1"/>
  <c r="E54" i="1"/>
  <c r="E53" i="1"/>
  <c r="E52" i="1"/>
  <c r="E51" i="1"/>
  <c r="N119" i="1"/>
  <c r="N118" i="1"/>
  <c r="N117" i="1"/>
  <c r="N116" i="1"/>
  <c r="D63" i="14" l="1"/>
  <c r="P68" i="14"/>
  <c r="H68" i="14"/>
  <c r="O68" i="14"/>
  <c r="G68" i="14"/>
  <c r="N68" i="14"/>
  <c r="F68" i="14"/>
  <c r="M68" i="14"/>
  <c r="E68" i="14"/>
  <c r="T68" i="14"/>
  <c r="L68" i="14"/>
  <c r="S68" i="14"/>
  <c r="K68" i="14"/>
  <c r="R68" i="14"/>
  <c r="E332" i="1"/>
  <c r="L311" i="1"/>
  <c r="L310" i="1" s="1"/>
  <c r="N311" i="1"/>
  <c r="N310" i="1" s="1"/>
  <c r="F311" i="1"/>
  <c r="F310" i="1" s="1"/>
  <c r="L332" i="1"/>
  <c r="N320" i="1"/>
  <c r="M332" i="1"/>
  <c r="P332" i="1"/>
  <c r="H332" i="1"/>
  <c r="R332" i="1"/>
  <c r="J332" i="1"/>
  <c r="O332" i="1"/>
  <c r="G332" i="1"/>
  <c r="N332" i="1"/>
  <c r="F332" i="1"/>
  <c r="S332" i="1"/>
  <c r="K332" i="1"/>
  <c r="Q332" i="1"/>
  <c r="I332" i="1"/>
  <c r="S311" i="1"/>
  <c r="S310" i="1" s="1"/>
  <c r="K311" i="1"/>
  <c r="K310" i="1" s="1"/>
  <c r="M311" i="1"/>
  <c r="M310" i="1" s="1"/>
  <c r="E311" i="1"/>
  <c r="E310" i="1" s="1"/>
  <c r="O311" i="1"/>
  <c r="O310" i="1" s="1"/>
  <c r="G311" i="1"/>
  <c r="G310" i="1" s="1"/>
  <c r="R311" i="1"/>
  <c r="R310" i="1" s="1"/>
  <c r="J311" i="1"/>
  <c r="J310" i="1" s="1"/>
  <c r="Q311" i="1"/>
  <c r="Q310" i="1" s="1"/>
  <c r="I311" i="1"/>
  <c r="I310" i="1" s="1"/>
  <c r="P311" i="1"/>
  <c r="P310" i="1" s="1"/>
  <c r="H311" i="1"/>
  <c r="H310" i="1" s="1"/>
  <c r="P244" i="1"/>
  <c r="N244" i="1"/>
  <c r="F244" i="1"/>
  <c r="O244" i="1"/>
  <c r="G244" i="1"/>
  <c r="H244" i="1"/>
  <c r="L244" i="1"/>
  <c r="S244" i="1"/>
  <c r="M244" i="1"/>
  <c r="R244" i="1"/>
  <c r="J244" i="1"/>
  <c r="K244" i="1"/>
  <c r="Q244" i="1"/>
  <c r="I244" i="1"/>
  <c r="E244" i="1"/>
  <c r="N267" i="1"/>
  <c r="N266" i="1" s="1"/>
  <c r="L267" i="1"/>
  <c r="L266" i="1" s="1"/>
  <c r="Q267" i="1"/>
  <c r="Q266" i="1" s="1"/>
  <c r="I267" i="1"/>
  <c r="I266" i="1" s="1"/>
  <c r="N288" i="1"/>
  <c r="P267" i="1"/>
  <c r="P266" i="1" s="1"/>
  <c r="H267" i="1"/>
  <c r="H266" i="1" s="1"/>
  <c r="F288" i="1"/>
  <c r="O267" i="1"/>
  <c r="O266" i="1" s="1"/>
  <c r="G267" i="1"/>
  <c r="G266" i="1" s="1"/>
  <c r="L288" i="1"/>
  <c r="F267" i="1"/>
  <c r="F266" i="1" s="1"/>
  <c r="M267" i="1"/>
  <c r="M266" i="1" s="1"/>
  <c r="E267" i="1"/>
  <c r="E266" i="1" s="1"/>
  <c r="S267" i="1"/>
  <c r="S266" i="1" s="1"/>
  <c r="K267" i="1"/>
  <c r="K266" i="1" s="1"/>
  <c r="R267" i="1"/>
  <c r="R266" i="1" s="1"/>
  <c r="J267" i="1"/>
  <c r="J266" i="1" s="1"/>
  <c r="O288" i="1"/>
  <c r="G288" i="1"/>
  <c r="J288" i="1"/>
  <c r="S288" i="1"/>
  <c r="M288" i="1"/>
  <c r="R288" i="1"/>
  <c r="Q288" i="1"/>
  <c r="I288" i="1"/>
  <c r="K288" i="1"/>
  <c r="P288" i="1"/>
  <c r="H288" i="1"/>
  <c r="E288" i="1"/>
  <c r="F197" i="1" l="1"/>
  <c r="D335" i="1"/>
  <c r="D333" i="1"/>
  <c r="D291" i="1"/>
  <c r="D289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D247" i="1"/>
  <c r="D245" i="1"/>
  <c r="D232" i="1"/>
  <c r="D320" i="1" l="1"/>
  <c r="F190" i="1"/>
  <c r="G190" i="1" s="1"/>
  <c r="F189" i="1"/>
  <c r="G189" i="1" s="1"/>
  <c r="F191" i="1"/>
  <c r="G191" i="1" s="1"/>
  <c r="F192" i="1"/>
  <c r="G192" i="1" s="1"/>
  <c r="F194" i="1"/>
  <c r="G197" i="1"/>
  <c r="F198" i="1"/>
  <c r="F199" i="1"/>
  <c r="G199" i="1" s="1"/>
  <c r="F200" i="1"/>
  <c r="F201" i="1"/>
  <c r="G201" i="1" s="1"/>
  <c r="F188" i="1"/>
  <c r="G188" i="1" s="1"/>
  <c r="P38" i="17" l="1"/>
  <c r="Q38" i="17"/>
  <c r="K38" i="28"/>
  <c r="J38" i="29"/>
  <c r="L38" i="17"/>
  <c r="S38" i="17"/>
  <c r="J38" i="17"/>
  <c r="T38" i="28"/>
  <c r="R38" i="28"/>
  <c r="O38" i="29"/>
  <c r="F38" i="29"/>
  <c r="R38" i="29"/>
  <c r="N38" i="28"/>
  <c r="K38" i="17"/>
  <c r="S38" i="28"/>
  <c r="H38" i="17"/>
  <c r="S38" i="29"/>
  <c r="P38" i="29"/>
  <c r="L38" i="28"/>
  <c r="F38" i="28"/>
  <c r="H38" i="28"/>
  <c r="L38" i="29"/>
  <c r="G38" i="28"/>
  <c r="K38" i="29"/>
  <c r="H38" i="29"/>
  <c r="T38" i="17"/>
  <c r="E38" i="29"/>
  <c r="G38" i="17"/>
  <c r="M38" i="29"/>
  <c r="I38" i="28"/>
  <c r="N38" i="17"/>
  <c r="F38" i="17"/>
  <c r="P38" i="28"/>
  <c r="M38" i="28"/>
  <c r="J38" i="28"/>
  <c r="R38" i="17"/>
  <c r="M38" i="17"/>
  <c r="N38" i="29"/>
  <c r="I38" i="29"/>
  <c r="T38" i="29"/>
  <c r="G38" i="29"/>
  <c r="Q38" i="29"/>
  <c r="O38" i="17"/>
  <c r="E38" i="28"/>
  <c r="Q38" i="28"/>
  <c r="I38" i="17"/>
  <c r="O38" i="28"/>
  <c r="G200" i="1"/>
  <c r="E38" i="17"/>
  <c r="G198" i="1"/>
  <c r="G194" i="1"/>
  <c r="E166" i="1"/>
  <c r="E169" i="1"/>
  <c r="D38" i="14"/>
  <c r="D37" i="14"/>
  <c r="D10" i="14"/>
  <c r="D35" i="14"/>
  <c r="D9" i="14"/>
  <c r="E63" i="14"/>
  <c r="G63" i="14"/>
  <c r="H63" i="14"/>
  <c r="M63" i="14"/>
  <c r="O63" i="14"/>
  <c r="I63" i="14"/>
  <c r="K63" i="14"/>
  <c r="Q63" i="14"/>
  <c r="S63" i="14"/>
  <c r="J63" i="14"/>
  <c r="I31" i="14"/>
  <c r="P31" i="14"/>
  <c r="H31" i="14"/>
  <c r="Q31" i="14"/>
  <c r="D25" i="14"/>
  <c r="D57" i="14" s="1"/>
  <c r="I5" i="14"/>
  <c r="P5" i="14"/>
  <c r="Q5" i="14"/>
  <c r="E346" i="1"/>
  <c r="F346" i="1"/>
  <c r="G346" i="1"/>
  <c r="H346" i="1"/>
  <c r="I346" i="1"/>
  <c r="J346" i="1"/>
  <c r="K346" i="1"/>
  <c r="L346" i="1"/>
  <c r="M346" i="1"/>
  <c r="N346" i="1"/>
  <c r="O346" i="1"/>
  <c r="P346" i="1"/>
  <c r="Q346" i="1"/>
  <c r="R346" i="1"/>
  <c r="S346" i="1"/>
  <c r="D346" i="1"/>
  <c r="D337" i="1"/>
  <c r="D332" i="1" s="1"/>
  <c r="E323" i="1"/>
  <c r="F323" i="1"/>
  <c r="F322" i="1" s="1"/>
  <c r="F309" i="1" s="1"/>
  <c r="G323" i="1"/>
  <c r="G345" i="1" s="1"/>
  <c r="H47" i="29" s="1"/>
  <c r="H323" i="1"/>
  <c r="H322" i="1" s="1"/>
  <c r="H309" i="1" s="1"/>
  <c r="I323" i="1"/>
  <c r="I322" i="1" s="1"/>
  <c r="I309" i="1" s="1"/>
  <c r="J323" i="1"/>
  <c r="J322" i="1" s="1"/>
  <c r="J309" i="1" s="1"/>
  <c r="K323" i="1"/>
  <c r="L323" i="1"/>
  <c r="L322" i="1" s="1"/>
  <c r="L309" i="1" s="1"/>
  <c r="M323" i="1"/>
  <c r="M322" i="1" s="1"/>
  <c r="M309" i="1" s="1"/>
  <c r="N323" i="1"/>
  <c r="N322" i="1" s="1"/>
  <c r="N309" i="1" s="1"/>
  <c r="O323" i="1"/>
  <c r="O345" i="1" s="1"/>
  <c r="P47" i="29" s="1"/>
  <c r="P323" i="1"/>
  <c r="P322" i="1" s="1"/>
  <c r="P309" i="1" s="1"/>
  <c r="Q323" i="1"/>
  <c r="Q322" i="1" s="1"/>
  <c r="Q309" i="1" s="1"/>
  <c r="R323" i="1"/>
  <c r="R322" i="1" s="1"/>
  <c r="R309" i="1" s="1"/>
  <c r="S323" i="1"/>
  <c r="E302" i="1"/>
  <c r="F302" i="1"/>
  <c r="G302" i="1"/>
  <c r="H302" i="1"/>
  <c r="I302" i="1"/>
  <c r="J302" i="1"/>
  <c r="K302" i="1"/>
  <c r="L302" i="1"/>
  <c r="M302" i="1"/>
  <c r="N302" i="1"/>
  <c r="O302" i="1"/>
  <c r="P302" i="1"/>
  <c r="Q302" i="1"/>
  <c r="R302" i="1"/>
  <c r="S302" i="1"/>
  <c r="E279" i="1"/>
  <c r="E278" i="1" s="1"/>
  <c r="E265" i="1" s="1"/>
  <c r="F279" i="1"/>
  <c r="F278" i="1" s="1"/>
  <c r="F265" i="1" s="1"/>
  <c r="G279" i="1"/>
  <c r="G278" i="1" s="1"/>
  <c r="G265" i="1" s="1"/>
  <c r="H279" i="1"/>
  <c r="I279" i="1"/>
  <c r="I278" i="1" s="1"/>
  <c r="I265" i="1" s="1"/>
  <c r="J279" i="1"/>
  <c r="J278" i="1" s="1"/>
  <c r="J265" i="1" s="1"/>
  <c r="K279" i="1"/>
  <c r="K278" i="1" s="1"/>
  <c r="K265" i="1" s="1"/>
  <c r="L279" i="1"/>
  <c r="L278" i="1" s="1"/>
  <c r="L265" i="1" s="1"/>
  <c r="M279" i="1"/>
  <c r="M278" i="1" s="1"/>
  <c r="M265" i="1" s="1"/>
  <c r="N279" i="1"/>
  <c r="N278" i="1" s="1"/>
  <c r="N265" i="1" s="1"/>
  <c r="O279" i="1"/>
  <c r="O278" i="1" s="1"/>
  <c r="O265" i="1" s="1"/>
  <c r="P279" i="1"/>
  <c r="P278" i="1" s="1"/>
  <c r="P265" i="1" s="1"/>
  <c r="Q279" i="1"/>
  <c r="R279" i="1"/>
  <c r="R278" i="1" s="1"/>
  <c r="R265" i="1" s="1"/>
  <c r="S279" i="1"/>
  <c r="S278" i="1" s="1"/>
  <c r="S265" i="1" s="1"/>
  <c r="D293" i="1"/>
  <c r="D288" i="1" s="1"/>
  <c r="D302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D258" i="1"/>
  <c r="D249" i="1"/>
  <c r="D244" i="1" s="1"/>
  <c r="D31" i="14" l="1"/>
  <c r="K31" i="14"/>
  <c r="J31" i="14"/>
  <c r="N343" i="1"/>
  <c r="F343" i="1"/>
  <c r="N63" i="14"/>
  <c r="F63" i="14"/>
  <c r="L63" i="14"/>
  <c r="P63" i="14"/>
  <c r="R63" i="14"/>
  <c r="R5" i="14"/>
  <c r="J5" i="14"/>
  <c r="Q301" i="1"/>
  <c r="D343" i="1"/>
  <c r="E345" i="1"/>
  <c r="F47" i="29" s="1"/>
  <c r="L343" i="1"/>
  <c r="H301" i="1"/>
  <c r="S345" i="1"/>
  <c r="T47" i="29" s="1"/>
  <c r="K345" i="1"/>
  <c r="L47" i="29" s="1"/>
  <c r="J343" i="1"/>
  <c r="S322" i="1"/>
  <c r="S309" i="1" s="1"/>
  <c r="K322" i="1"/>
  <c r="K309" i="1" s="1"/>
  <c r="Q278" i="1"/>
  <c r="Q265" i="1" s="1"/>
  <c r="H278" i="1"/>
  <c r="H265" i="1" s="1"/>
  <c r="O322" i="1"/>
  <c r="O309" i="1" s="1"/>
  <c r="G322" i="1"/>
  <c r="G309" i="1" s="1"/>
  <c r="E322" i="1"/>
  <c r="E309" i="1" s="1"/>
  <c r="D299" i="1"/>
  <c r="M299" i="1"/>
  <c r="E299" i="1"/>
  <c r="M301" i="1"/>
  <c r="E301" i="1"/>
  <c r="Q299" i="1"/>
  <c r="I299" i="1"/>
  <c r="G255" i="1"/>
  <c r="O299" i="1"/>
  <c r="G299" i="1"/>
  <c r="N345" i="1"/>
  <c r="O47" i="29" s="1"/>
  <c r="L255" i="1"/>
  <c r="K299" i="1"/>
  <c r="R299" i="1"/>
  <c r="J299" i="1"/>
  <c r="D267" i="1"/>
  <c r="D266" i="1" s="1"/>
  <c r="S301" i="1"/>
  <c r="K301" i="1"/>
  <c r="S255" i="1"/>
  <c r="K255" i="1"/>
  <c r="I301" i="1"/>
  <c r="Q343" i="1"/>
  <c r="I343" i="1"/>
  <c r="D67" i="14"/>
  <c r="Q255" i="1"/>
  <c r="I255" i="1"/>
  <c r="D69" i="14"/>
  <c r="O255" i="1"/>
  <c r="P255" i="1"/>
  <c r="H255" i="1"/>
  <c r="S343" i="1"/>
  <c r="R255" i="1"/>
  <c r="J255" i="1"/>
  <c r="D70" i="14"/>
  <c r="S299" i="1"/>
  <c r="L301" i="1"/>
  <c r="Q345" i="1"/>
  <c r="R47" i="29" s="1"/>
  <c r="I345" i="1"/>
  <c r="J47" i="29" s="1"/>
  <c r="O301" i="1"/>
  <c r="G301" i="1"/>
  <c r="R343" i="1"/>
  <c r="O343" i="1"/>
  <c r="G343" i="1"/>
  <c r="D255" i="1"/>
  <c r="N255" i="1"/>
  <c r="F255" i="1"/>
  <c r="M343" i="1"/>
  <c r="E343" i="1"/>
  <c r="M255" i="1"/>
  <c r="E255" i="1"/>
  <c r="L299" i="1"/>
  <c r="L10" i="14"/>
  <c r="F301" i="1"/>
  <c r="P299" i="1"/>
  <c r="H299" i="1"/>
  <c r="L345" i="1"/>
  <c r="M47" i="29" s="1"/>
  <c r="P345" i="1"/>
  <c r="Q47" i="29" s="1"/>
  <c r="N301" i="1"/>
  <c r="N299" i="1"/>
  <c r="F299" i="1"/>
  <c r="R345" i="1"/>
  <c r="S47" i="29" s="1"/>
  <c r="H345" i="1"/>
  <c r="I47" i="29" s="1"/>
  <c r="P343" i="1"/>
  <c r="H343" i="1"/>
  <c r="F345" i="1"/>
  <c r="G47" i="29" s="1"/>
  <c r="K343" i="1"/>
  <c r="P301" i="1"/>
  <c r="M345" i="1"/>
  <c r="N47" i="29" s="1"/>
  <c r="N5" i="14"/>
  <c r="F5" i="14"/>
  <c r="O31" i="14"/>
  <c r="F31" i="14"/>
  <c r="E31" i="14"/>
  <c r="M5" i="14"/>
  <c r="E5" i="14"/>
  <c r="L31" i="14"/>
  <c r="E10" i="14"/>
  <c r="M10" i="14"/>
  <c r="E38" i="14"/>
  <c r="S31" i="14"/>
  <c r="R31" i="14"/>
  <c r="G31" i="14"/>
  <c r="N31" i="14"/>
  <c r="M31" i="14"/>
  <c r="H5" i="14"/>
  <c r="Q10" i="14"/>
  <c r="S5" i="14"/>
  <c r="K5" i="14"/>
  <c r="O10" i="14"/>
  <c r="L5" i="14"/>
  <c r="K10" i="14"/>
  <c r="T10" i="14"/>
  <c r="J10" i="14"/>
  <c r="S10" i="14"/>
  <c r="I10" i="14"/>
  <c r="R10" i="14"/>
  <c r="G10" i="14"/>
  <c r="O5" i="14"/>
  <c r="G5" i="14"/>
  <c r="N10" i="14"/>
  <c r="F10" i="14"/>
  <c r="P10" i="14"/>
  <c r="H10" i="14"/>
  <c r="D5" i="14"/>
  <c r="J345" i="1"/>
  <c r="K47" i="29" s="1"/>
  <c r="R301" i="1"/>
  <c r="J301" i="1"/>
  <c r="E70" i="14" l="1"/>
  <c r="L70" i="14"/>
  <c r="T70" i="14"/>
  <c r="M70" i="14"/>
  <c r="F70" i="14"/>
  <c r="N70" i="14"/>
  <c r="G70" i="14"/>
  <c r="O70" i="14"/>
  <c r="S70" i="14"/>
  <c r="H70" i="14"/>
  <c r="P70" i="14"/>
  <c r="I70" i="14"/>
  <c r="Q70" i="14"/>
  <c r="J70" i="14"/>
  <c r="R70" i="14"/>
  <c r="K70" i="14"/>
  <c r="K69" i="14"/>
  <c r="S69" i="14"/>
  <c r="R69" i="14"/>
  <c r="L69" i="14"/>
  <c r="T69" i="14"/>
  <c r="J69" i="14"/>
  <c r="M69" i="14"/>
  <c r="F69" i="14"/>
  <c r="N69" i="14"/>
  <c r="G69" i="14"/>
  <c r="O69" i="14"/>
  <c r="H69" i="14"/>
  <c r="P69" i="14"/>
  <c r="I69" i="14"/>
  <c r="Q69" i="14"/>
  <c r="I67" i="14"/>
  <c r="Q67" i="14"/>
  <c r="J67" i="14"/>
  <c r="R67" i="14"/>
  <c r="K67" i="14"/>
  <c r="S67" i="14"/>
  <c r="L67" i="14"/>
  <c r="T67" i="14"/>
  <c r="E67" i="14"/>
  <c r="E71" i="14" s="1"/>
  <c r="M67" i="14"/>
  <c r="P67" i="14"/>
  <c r="F67" i="14"/>
  <c r="N67" i="14"/>
  <c r="G67" i="14"/>
  <c r="O67" i="14"/>
  <c r="H67" i="14"/>
  <c r="R14" i="29"/>
  <c r="R97" i="29"/>
  <c r="H97" i="29"/>
  <c r="H14" i="29"/>
  <c r="S97" i="29"/>
  <c r="S14" i="29"/>
  <c r="E97" i="29"/>
  <c r="E14" i="29"/>
  <c r="L97" i="29"/>
  <c r="L14" i="29"/>
  <c r="F97" i="29"/>
  <c r="F14" i="29"/>
  <c r="G14" i="29"/>
  <c r="G97" i="29"/>
  <c r="Q14" i="29"/>
  <c r="Q97" i="29"/>
  <c r="N97" i="29"/>
  <c r="N14" i="29"/>
  <c r="K97" i="29"/>
  <c r="K14" i="29"/>
  <c r="O97" i="29"/>
  <c r="O14" i="29"/>
  <c r="M14" i="29"/>
  <c r="M97" i="29"/>
  <c r="P97" i="29"/>
  <c r="P14" i="29"/>
  <c r="I14" i="29"/>
  <c r="I97" i="29"/>
  <c r="T97" i="29"/>
  <c r="T14" i="29"/>
  <c r="J97" i="29"/>
  <c r="J14" i="29"/>
  <c r="F37" i="29"/>
  <c r="F33" i="29"/>
  <c r="K37" i="29"/>
  <c r="K33" i="29"/>
  <c r="M37" i="28"/>
  <c r="M33" i="28"/>
  <c r="N37" i="29"/>
  <c r="N33" i="29"/>
  <c r="H37" i="29"/>
  <c r="H33" i="29"/>
  <c r="L37" i="28"/>
  <c r="L33" i="28"/>
  <c r="H37" i="28"/>
  <c r="H33" i="28"/>
  <c r="L37" i="29"/>
  <c r="L33" i="29"/>
  <c r="M37" i="29"/>
  <c r="M33" i="29"/>
  <c r="P37" i="29"/>
  <c r="P33" i="29"/>
  <c r="T37" i="28"/>
  <c r="T33" i="28"/>
  <c r="P37" i="28"/>
  <c r="P33" i="28"/>
  <c r="K37" i="28"/>
  <c r="K33" i="28"/>
  <c r="I37" i="28"/>
  <c r="I33" i="28"/>
  <c r="G37" i="29"/>
  <c r="G33" i="29"/>
  <c r="T37" i="29"/>
  <c r="T33" i="29"/>
  <c r="J37" i="28"/>
  <c r="J33" i="28"/>
  <c r="Q37" i="28"/>
  <c r="Q33" i="28"/>
  <c r="O37" i="29"/>
  <c r="O33" i="29"/>
  <c r="J37" i="29"/>
  <c r="J33" i="29"/>
  <c r="G37" i="28"/>
  <c r="G33" i="28"/>
  <c r="R37" i="28"/>
  <c r="R33" i="28"/>
  <c r="R37" i="29"/>
  <c r="R33" i="29"/>
  <c r="O37" i="28"/>
  <c r="O33" i="28"/>
  <c r="F37" i="28"/>
  <c r="F33" i="28"/>
  <c r="I37" i="29"/>
  <c r="I33" i="29"/>
  <c r="S37" i="29"/>
  <c r="S33" i="29"/>
  <c r="S37" i="28"/>
  <c r="S33" i="28"/>
  <c r="N37" i="28"/>
  <c r="N33" i="28"/>
  <c r="Q37" i="29"/>
  <c r="Q33" i="29"/>
  <c r="P297" i="1"/>
  <c r="F341" i="1"/>
  <c r="L297" i="1"/>
  <c r="Q297" i="1"/>
  <c r="P341" i="1"/>
  <c r="I341" i="1"/>
  <c r="R341" i="1"/>
  <c r="Q341" i="1"/>
  <c r="E341" i="1"/>
  <c r="H297" i="1"/>
  <c r="M341" i="1"/>
  <c r="S341" i="1"/>
  <c r="N341" i="1"/>
  <c r="J341" i="1"/>
  <c r="D297" i="1"/>
  <c r="S297" i="1"/>
  <c r="K341" i="1"/>
  <c r="F297" i="1"/>
  <c r="G341" i="1"/>
  <c r="J297" i="1"/>
  <c r="N297" i="1"/>
  <c r="E297" i="1"/>
  <c r="O341" i="1"/>
  <c r="L341" i="1"/>
  <c r="R297" i="1"/>
  <c r="H341" i="1"/>
  <c r="M297" i="1"/>
  <c r="G297" i="1"/>
  <c r="O297" i="1"/>
  <c r="E69" i="14"/>
  <c r="K297" i="1"/>
  <c r="I297" i="1"/>
  <c r="M93" i="29" l="1"/>
  <c r="P93" i="28"/>
  <c r="J93" i="29"/>
  <c r="N93" i="28"/>
  <c r="O93" i="28"/>
  <c r="O93" i="29"/>
  <c r="Q93" i="29"/>
  <c r="S93" i="29"/>
  <c r="J93" i="28"/>
  <c r="K93" i="29"/>
  <c r="T93" i="29"/>
  <c r="H93" i="29"/>
  <c r="N93" i="29"/>
  <c r="M93" i="28"/>
  <c r="T93" i="28"/>
  <c r="F93" i="28"/>
  <c r="I93" i="28"/>
  <c r="R93" i="29"/>
  <c r="P93" i="29"/>
  <c r="H93" i="28"/>
  <c r="K93" i="28"/>
  <c r="R93" i="28"/>
  <c r="I93" i="29"/>
  <c r="G93" i="28"/>
  <c r="G93" i="29"/>
  <c r="L93" i="28"/>
  <c r="S93" i="28"/>
  <c r="L93" i="29"/>
  <c r="F93" i="29"/>
  <c r="Q93" i="28"/>
  <c r="G54" i="1"/>
  <c r="G53" i="1"/>
  <c r="G52" i="1"/>
  <c r="G51" i="1"/>
  <c r="N129" i="1"/>
  <c r="N130" i="1"/>
  <c r="N131" i="1"/>
  <c r="N128" i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E100" i="1"/>
  <c r="E55" i="1" l="1"/>
  <c r="N120" i="1"/>
  <c r="E56" i="1"/>
  <c r="N121" i="1"/>
  <c r="N132" i="1"/>
  <c r="N133" i="1"/>
  <c r="G55" i="1"/>
  <c r="G56" i="1"/>
  <c r="N124" i="1"/>
  <c r="N136" i="1"/>
  <c r="M22" i="29" l="1"/>
  <c r="P22" i="28"/>
  <c r="N22" i="29"/>
  <c r="N22" i="28"/>
  <c r="K22" i="29"/>
  <c r="P22" i="29"/>
  <c r="R22" i="28"/>
  <c r="G22" i="29"/>
  <c r="Q22" i="28"/>
  <c r="O22" i="29"/>
  <c r="J22" i="28"/>
  <c r="T22" i="29"/>
  <c r="H22" i="29"/>
  <c r="F22" i="28"/>
  <c r="R22" i="29"/>
  <c r="S22" i="28"/>
  <c r="M22" i="28"/>
  <c r="G22" i="28"/>
  <c r="F22" i="29"/>
  <c r="S22" i="29"/>
  <c r="H22" i="28"/>
  <c r="L22" i="28"/>
  <c r="T22" i="28"/>
  <c r="I22" i="28"/>
  <c r="K22" i="28"/>
  <c r="I22" i="29"/>
  <c r="J22" i="29"/>
  <c r="O22" i="28"/>
  <c r="Q22" i="29"/>
  <c r="L22" i="29"/>
  <c r="N125" i="1"/>
  <c r="E8" i="1"/>
  <c r="E35" i="14" l="1"/>
  <c r="I80" i="14" l="1"/>
  <c r="J80" i="14" l="1"/>
  <c r="I71" i="14"/>
  <c r="M71" i="14"/>
  <c r="Q71" i="14"/>
  <c r="H71" i="14"/>
  <c r="P71" i="14"/>
  <c r="F71" i="14"/>
  <c r="J71" i="14"/>
  <c r="N71" i="14"/>
  <c r="R71" i="14"/>
  <c r="L71" i="14"/>
  <c r="G71" i="14"/>
  <c r="K71" i="14"/>
  <c r="O71" i="14"/>
  <c r="S71" i="14"/>
  <c r="T71" i="14"/>
  <c r="K80" i="14" l="1"/>
  <c r="F193" i="1"/>
  <c r="F195" i="1"/>
  <c r="G195" i="1" s="1"/>
  <c r="F196" i="1"/>
  <c r="G196" i="1" l="1"/>
  <c r="E158" i="1"/>
  <c r="E157" i="1"/>
  <c r="G193" i="1"/>
  <c r="L80" i="14"/>
  <c r="E202" i="1"/>
  <c r="J30" i="29" l="1"/>
  <c r="R30" i="29"/>
  <c r="K31" i="29"/>
  <c r="S31" i="29"/>
  <c r="K30" i="28"/>
  <c r="S30" i="28"/>
  <c r="S30" i="29"/>
  <c r="L30" i="28"/>
  <c r="K30" i="29"/>
  <c r="L31" i="29"/>
  <c r="T31" i="29"/>
  <c r="T30" i="28"/>
  <c r="L30" i="29"/>
  <c r="T30" i="29"/>
  <c r="M31" i="29"/>
  <c r="E31" i="29"/>
  <c r="M30" i="28"/>
  <c r="G30" i="29"/>
  <c r="M30" i="29"/>
  <c r="F31" i="29"/>
  <c r="N31" i="29"/>
  <c r="F30" i="28"/>
  <c r="N30" i="28"/>
  <c r="P30" i="28"/>
  <c r="R30" i="28"/>
  <c r="F30" i="29"/>
  <c r="N30" i="29"/>
  <c r="G31" i="29"/>
  <c r="O31" i="29"/>
  <c r="G30" i="28"/>
  <c r="O30" i="28"/>
  <c r="P31" i="29"/>
  <c r="H30" i="28"/>
  <c r="J30" i="28"/>
  <c r="O30" i="29"/>
  <c r="H31" i="29"/>
  <c r="H30" i="29"/>
  <c r="P30" i="29"/>
  <c r="I31" i="29"/>
  <c r="Q31" i="29"/>
  <c r="I30" i="28"/>
  <c r="Q30" i="28"/>
  <c r="I30" i="29"/>
  <c r="Q30" i="29"/>
  <c r="J31" i="29"/>
  <c r="R31" i="29"/>
  <c r="G31" i="17"/>
  <c r="F31" i="28"/>
  <c r="N31" i="28"/>
  <c r="L31" i="17"/>
  <c r="P31" i="17"/>
  <c r="P31" i="28"/>
  <c r="M31" i="17"/>
  <c r="S31" i="28"/>
  <c r="O31" i="28"/>
  <c r="J31" i="28"/>
  <c r="R31" i="28"/>
  <c r="H31" i="17"/>
  <c r="H31" i="28"/>
  <c r="E31" i="28"/>
  <c r="T31" i="17"/>
  <c r="R31" i="17"/>
  <c r="L31" i="28"/>
  <c r="G31" i="28"/>
  <c r="K31" i="17"/>
  <c r="T31" i="28"/>
  <c r="O31" i="17"/>
  <c r="M31" i="28"/>
  <c r="I31" i="28"/>
  <c r="F31" i="17"/>
  <c r="K31" i="28"/>
  <c r="J31" i="17"/>
  <c r="E31" i="17"/>
  <c r="S31" i="17"/>
  <c r="Q31" i="17"/>
  <c r="N31" i="17"/>
  <c r="I31" i="17"/>
  <c r="Q31" i="28"/>
  <c r="P25" i="28"/>
  <c r="J26" i="28"/>
  <c r="F28" i="29"/>
  <c r="M26" i="28"/>
  <c r="K28" i="29"/>
  <c r="S26" i="29"/>
  <c r="J27" i="29"/>
  <c r="Q25" i="28"/>
  <c r="S25" i="28"/>
  <c r="F25" i="28"/>
  <c r="L27" i="29"/>
  <c r="N27" i="29"/>
  <c r="G27" i="28"/>
  <c r="R26" i="28"/>
  <c r="T26" i="29"/>
  <c r="T28" i="28"/>
  <c r="I25" i="28"/>
  <c r="F26" i="29"/>
  <c r="H27" i="29"/>
  <c r="R29" i="29"/>
  <c r="P28" i="28"/>
  <c r="J25" i="28"/>
  <c r="F27" i="29"/>
  <c r="M29" i="28"/>
  <c r="G29" i="29"/>
  <c r="K27" i="29"/>
  <c r="S25" i="29"/>
  <c r="P29" i="29"/>
  <c r="J26" i="29"/>
  <c r="Q28" i="28"/>
  <c r="S29" i="28"/>
  <c r="H29" i="29"/>
  <c r="F26" i="28"/>
  <c r="L26" i="29"/>
  <c r="H25" i="28"/>
  <c r="G26" i="28"/>
  <c r="R25" i="28"/>
  <c r="T25" i="29"/>
  <c r="O26" i="28"/>
  <c r="T27" i="28"/>
  <c r="I27" i="28"/>
  <c r="G26" i="29"/>
  <c r="T27" i="29"/>
  <c r="P27" i="28"/>
  <c r="J28" i="28"/>
  <c r="M28" i="29"/>
  <c r="K26" i="29"/>
  <c r="O27" i="29"/>
  <c r="J25" i="29"/>
  <c r="Q26" i="29"/>
  <c r="F28" i="28"/>
  <c r="L25" i="29"/>
  <c r="N29" i="29"/>
  <c r="H28" i="28"/>
  <c r="G25" i="28"/>
  <c r="R28" i="28"/>
  <c r="T29" i="29"/>
  <c r="L29" i="28"/>
  <c r="O25" i="28"/>
  <c r="T26" i="28"/>
  <c r="I28" i="28"/>
  <c r="P27" i="29"/>
  <c r="H28" i="29"/>
  <c r="N25" i="29"/>
  <c r="M27" i="28"/>
  <c r="S27" i="29"/>
  <c r="O29" i="29"/>
  <c r="N29" i="28"/>
  <c r="H29" i="28"/>
  <c r="P26" i="28"/>
  <c r="J29" i="28"/>
  <c r="F29" i="29"/>
  <c r="K28" i="28"/>
  <c r="M27" i="29"/>
  <c r="K25" i="29"/>
  <c r="S29" i="29"/>
  <c r="O26" i="29"/>
  <c r="J28" i="29"/>
  <c r="N26" i="28"/>
  <c r="Q27" i="29"/>
  <c r="F27" i="28"/>
  <c r="L29" i="29"/>
  <c r="R27" i="29"/>
  <c r="H27" i="28"/>
  <c r="G28" i="28"/>
  <c r="R29" i="28"/>
  <c r="I26" i="29"/>
  <c r="O28" i="28"/>
  <c r="T25" i="28"/>
  <c r="G28" i="29"/>
  <c r="S27" i="28"/>
  <c r="L26" i="28"/>
  <c r="O29" i="28"/>
  <c r="K29" i="28"/>
  <c r="P26" i="29"/>
  <c r="S26" i="28"/>
  <c r="N28" i="29"/>
  <c r="L25" i="28"/>
  <c r="G25" i="29"/>
  <c r="K27" i="28"/>
  <c r="M25" i="29"/>
  <c r="K29" i="29"/>
  <c r="P25" i="29"/>
  <c r="O25" i="29"/>
  <c r="J29" i="29"/>
  <c r="Q29" i="28"/>
  <c r="H25" i="29"/>
  <c r="N28" i="28"/>
  <c r="Q25" i="29"/>
  <c r="R26" i="29"/>
  <c r="H26" i="28"/>
  <c r="G29" i="28"/>
  <c r="L28" i="28"/>
  <c r="I28" i="29"/>
  <c r="O27" i="28"/>
  <c r="T29" i="28"/>
  <c r="I29" i="28"/>
  <c r="F25" i="29"/>
  <c r="M29" i="29"/>
  <c r="J27" i="28"/>
  <c r="Q27" i="28"/>
  <c r="Q29" i="29"/>
  <c r="R27" i="28"/>
  <c r="I26" i="28"/>
  <c r="P29" i="28"/>
  <c r="M25" i="28"/>
  <c r="G27" i="29"/>
  <c r="K26" i="28"/>
  <c r="M26" i="29"/>
  <c r="P28" i="29"/>
  <c r="O28" i="29"/>
  <c r="S28" i="28"/>
  <c r="H26" i="29"/>
  <c r="N27" i="28"/>
  <c r="Q28" i="29"/>
  <c r="F29" i="28"/>
  <c r="N26" i="29"/>
  <c r="R25" i="29"/>
  <c r="L27" i="28"/>
  <c r="I25" i="29"/>
  <c r="M28" i="28"/>
  <c r="K25" i="28"/>
  <c r="S28" i="29"/>
  <c r="Q26" i="28"/>
  <c r="N25" i="28"/>
  <c r="R28" i="29"/>
  <c r="T28" i="29"/>
  <c r="I27" i="29"/>
  <c r="L28" i="29"/>
  <c r="I29" i="29"/>
  <c r="M80" i="14"/>
  <c r="N80" i="14" l="1"/>
  <c r="I39" i="29"/>
  <c r="O39" i="29"/>
  <c r="T39" i="29"/>
  <c r="K39" i="28"/>
  <c r="P39" i="28"/>
  <c r="E39" i="28"/>
  <c r="H39" i="17"/>
  <c r="M39" i="17"/>
  <c r="S39" i="17"/>
  <c r="G39" i="29"/>
  <c r="O80" i="14" l="1"/>
  <c r="E39" i="17"/>
  <c r="G39" i="17"/>
  <c r="T39" i="28"/>
  <c r="M39" i="29"/>
  <c r="K39" i="17"/>
  <c r="S39" i="28"/>
  <c r="Q39" i="29"/>
  <c r="L39" i="29"/>
  <c r="F39" i="29"/>
  <c r="J39" i="29"/>
  <c r="N39" i="29"/>
  <c r="R39" i="29"/>
  <c r="F39" i="28"/>
  <c r="J39" i="28"/>
  <c r="N39" i="28"/>
  <c r="R39" i="28"/>
  <c r="F39" i="17"/>
  <c r="J39" i="17"/>
  <c r="N39" i="17"/>
  <c r="R39" i="17"/>
  <c r="Q39" i="17"/>
  <c r="L39" i="17"/>
  <c r="O39" i="28"/>
  <c r="I39" i="28"/>
  <c r="S39" i="29"/>
  <c r="H39" i="29"/>
  <c r="P39" i="17"/>
  <c r="M39" i="28"/>
  <c r="H39" i="28"/>
  <c r="T39" i="17"/>
  <c r="O39" i="17"/>
  <c r="I39" i="17"/>
  <c r="Q39" i="28"/>
  <c r="L39" i="28"/>
  <c r="G39" i="28"/>
  <c r="E39" i="29"/>
  <c r="P39" i="29"/>
  <c r="K39" i="29"/>
  <c r="P80" i="14" l="1"/>
  <c r="D2" i="27"/>
  <c r="Q80" i="14" l="1"/>
  <c r="R235" i="1"/>
  <c r="R234" i="1" s="1"/>
  <c r="N235" i="1"/>
  <c r="J235" i="1"/>
  <c r="J234" i="1" s="1"/>
  <c r="F235" i="1"/>
  <c r="F234" i="1" s="1"/>
  <c r="F9" i="14"/>
  <c r="F11" i="14" s="1"/>
  <c r="M9" i="14"/>
  <c r="M11" i="14" s="1"/>
  <c r="L9" i="14"/>
  <c r="L11" i="14" s="1"/>
  <c r="K9" i="14"/>
  <c r="K11" i="14" s="1"/>
  <c r="N9" i="14"/>
  <c r="N11" i="14" s="1"/>
  <c r="T9" i="14"/>
  <c r="T11" i="14" s="1"/>
  <c r="O9" i="14"/>
  <c r="O11" i="14" s="1"/>
  <c r="I9" i="14"/>
  <c r="I11" i="14" s="1"/>
  <c r="H9" i="14"/>
  <c r="H11" i="14" s="1"/>
  <c r="G9" i="14"/>
  <c r="G11" i="14" s="1"/>
  <c r="J9" i="14"/>
  <c r="J11" i="14" s="1"/>
  <c r="E9" i="14"/>
  <c r="E11" i="14" s="1"/>
  <c r="S9" i="14"/>
  <c r="S11" i="14" s="1"/>
  <c r="Q9" i="14"/>
  <c r="Q11" i="14" s="1"/>
  <c r="P9" i="14"/>
  <c r="P11" i="14" s="1"/>
  <c r="R9" i="14"/>
  <c r="R11" i="14" s="1"/>
  <c r="S235" i="1"/>
  <c r="S234" i="1" s="1"/>
  <c r="O235" i="1"/>
  <c r="O234" i="1" s="1"/>
  <c r="K235" i="1"/>
  <c r="K234" i="1" s="1"/>
  <c r="G235" i="1"/>
  <c r="G234" i="1" s="1"/>
  <c r="N140" i="1"/>
  <c r="P235" i="1"/>
  <c r="P234" i="1" s="1"/>
  <c r="L235" i="1"/>
  <c r="L234" i="1" s="1"/>
  <c r="H235" i="1"/>
  <c r="H234" i="1" s="1"/>
  <c r="N143" i="1"/>
  <c r="N145" i="1"/>
  <c r="N142" i="1"/>
  <c r="Q235" i="1"/>
  <c r="Q234" i="1" s="1"/>
  <c r="M235" i="1"/>
  <c r="M234" i="1" s="1"/>
  <c r="I235" i="1"/>
  <c r="I234" i="1" s="1"/>
  <c r="E235" i="1"/>
  <c r="E234" i="1" s="1"/>
  <c r="N139" i="1"/>
  <c r="N141" i="1"/>
  <c r="N144" i="1"/>
  <c r="R80" i="14" l="1"/>
  <c r="N257" i="1"/>
  <c r="N234" i="1"/>
  <c r="O257" i="1"/>
  <c r="S257" i="1"/>
  <c r="J257" i="1"/>
  <c r="G257" i="1"/>
  <c r="H257" i="1"/>
  <c r="F257" i="1"/>
  <c r="E257" i="1"/>
  <c r="L257" i="1"/>
  <c r="I257" i="1"/>
  <c r="P257" i="1"/>
  <c r="Q257" i="1"/>
  <c r="K257" i="1"/>
  <c r="M257" i="1"/>
  <c r="R257" i="1"/>
  <c r="E37" i="14"/>
  <c r="S82" i="1"/>
  <c r="T82" i="1" s="1"/>
  <c r="S83" i="1"/>
  <c r="T83" i="1" s="1"/>
  <c r="S84" i="1"/>
  <c r="T84" i="1" s="1"/>
  <c r="S81" i="1"/>
  <c r="T81" i="1" s="1"/>
  <c r="N82" i="1"/>
  <c r="O82" i="1" s="1"/>
  <c r="P82" i="1" s="1"/>
  <c r="Q82" i="1" s="1"/>
  <c r="N83" i="1"/>
  <c r="O83" i="1" s="1"/>
  <c r="P83" i="1" s="1"/>
  <c r="Q83" i="1" s="1"/>
  <c r="N84" i="1"/>
  <c r="O84" i="1" s="1"/>
  <c r="P84" i="1" s="1"/>
  <c r="Q84" i="1" s="1"/>
  <c r="N81" i="1"/>
  <c r="O81" i="1" s="1"/>
  <c r="P81" i="1" s="1"/>
  <c r="Q81" i="1" s="1"/>
  <c r="I82" i="1"/>
  <c r="J82" i="1" s="1"/>
  <c r="K82" i="1" s="1"/>
  <c r="L82" i="1" s="1"/>
  <c r="I83" i="1"/>
  <c r="J83" i="1" s="1"/>
  <c r="K83" i="1" s="1"/>
  <c r="L83" i="1" s="1"/>
  <c r="I84" i="1"/>
  <c r="J84" i="1" s="1"/>
  <c r="K84" i="1" s="1"/>
  <c r="L84" i="1" s="1"/>
  <c r="I81" i="1"/>
  <c r="J81" i="1" s="1"/>
  <c r="K81" i="1" s="1"/>
  <c r="L81" i="1" s="1"/>
  <c r="F82" i="1"/>
  <c r="G82" i="1" s="1"/>
  <c r="F83" i="1"/>
  <c r="G83" i="1" s="1"/>
  <c r="F84" i="1"/>
  <c r="G84" i="1" s="1"/>
  <c r="F81" i="1"/>
  <c r="G81" i="1" s="1"/>
  <c r="S80" i="14" l="1"/>
  <c r="E207" i="1"/>
  <c r="T80" i="14" l="1"/>
  <c r="G13" i="29"/>
  <c r="H13" i="29"/>
  <c r="P13" i="29"/>
  <c r="L13" i="29"/>
  <c r="T13" i="29"/>
  <c r="Q13" i="29"/>
  <c r="F13" i="29"/>
  <c r="I13" i="29"/>
  <c r="R13" i="29" l="1"/>
  <c r="K13" i="29"/>
  <c r="N13" i="29"/>
  <c r="S13" i="29"/>
  <c r="M13" i="29"/>
  <c r="O13" i="29"/>
  <c r="J13" i="29"/>
  <c r="P223" i="1" l="1"/>
  <c r="P222" i="1" s="1"/>
  <c r="P221" i="1" s="1"/>
  <c r="L223" i="1"/>
  <c r="L222" i="1" s="1"/>
  <c r="L221" i="1" s="1"/>
  <c r="H223" i="1"/>
  <c r="H222" i="1" s="1"/>
  <c r="H221" i="1" s="1"/>
  <c r="S223" i="1"/>
  <c r="S222" i="1" s="1"/>
  <c r="S221" i="1" s="1"/>
  <c r="O223" i="1"/>
  <c r="O222" i="1" s="1"/>
  <c r="O221" i="1" s="1"/>
  <c r="K223" i="1"/>
  <c r="K222" i="1" s="1"/>
  <c r="K221" i="1" s="1"/>
  <c r="G223" i="1"/>
  <c r="G222" i="1" s="1"/>
  <c r="G221" i="1" s="1"/>
  <c r="R223" i="1"/>
  <c r="R222" i="1" s="1"/>
  <c r="R221" i="1" s="1"/>
  <c r="N223" i="1"/>
  <c r="N222" i="1" s="1"/>
  <c r="N221" i="1" s="1"/>
  <c r="J223" i="1"/>
  <c r="J222" i="1" s="1"/>
  <c r="J221" i="1" s="1"/>
  <c r="F223" i="1"/>
  <c r="F222" i="1" s="1"/>
  <c r="F221" i="1" s="1"/>
  <c r="Q223" i="1"/>
  <c r="Q222" i="1" s="1"/>
  <c r="Q221" i="1" s="1"/>
  <c r="M223" i="1"/>
  <c r="M222" i="1" s="1"/>
  <c r="M221" i="1" s="1"/>
  <c r="I223" i="1"/>
  <c r="I222" i="1" s="1"/>
  <c r="I221" i="1" s="1"/>
  <c r="E223" i="1"/>
  <c r="E222" i="1" s="1"/>
  <c r="E221" i="1" s="1"/>
  <c r="H37" i="17" l="1"/>
  <c r="H33" i="17"/>
  <c r="J37" i="17"/>
  <c r="J33" i="17"/>
  <c r="R37" i="17"/>
  <c r="R33" i="17"/>
  <c r="F37" i="17"/>
  <c r="F33" i="17"/>
  <c r="N37" i="17"/>
  <c r="N33" i="17"/>
  <c r="I37" i="17"/>
  <c r="I33" i="17"/>
  <c r="P37" i="17"/>
  <c r="P33" i="17"/>
  <c r="M37" i="17"/>
  <c r="M33" i="17"/>
  <c r="S37" i="17"/>
  <c r="S33" i="17"/>
  <c r="L37" i="17"/>
  <c r="L33" i="17"/>
  <c r="G37" i="17"/>
  <c r="G33" i="17"/>
  <c r="K37" i="17"/>
  <c r="K33" i="17"/>
  <c r="O37" i="17"/>
  <c r="O33" i="17"/>
  <c r="Q37" i="17"/>
  <c r="Q33" i="17"/>
  <c r="S253" i="1"/>
  <c r="E253" i="1"/>
  <c r="K253" i="1"/>
  <c r="H253" i="1"/>
  <c r="R253" i="1"/>
  <c r="I253" i="1"/>
  <c r="O253" i="1"/>
  <c r="F253" i="1"/>
  <c r="J253" i="1"/>
  <c r="L253" i="1"/>
  <c r="G253" i="1"/>
  <c r="M253" i="1"/>
  <c r="Q253" i="1"/>
  <c r="N253" i="1"/>
  <c r="P253" i="1"/>
  <c r="F155" i="1"/>
  <c r="G155" i="1" s="1"/>
  <c r="H155" i="1" s="1"/>
  <c r="I155" i="1" s="1"/>
  <c r="J155" i="1" s="1"/>
  <c r="K155" i="1" s="1"/>
  <c r="L155" i="1" s="1"/>
  <c r="M155" i="1" s="1"/>
  <c r="N155" i="1" s="1"/>
  <c r="O155" i="1" s="1"/>
  <c r="P155" i="1" s="1"/>
  <c r="Q155" i="1" s="1"/>
  <c r="R155" i="1" s="1"/>
  <c r="S155" i="1" s="1"/>
  <c r="T155" i="1" s="1"/>
  <c r="N22" i="17" l="1"/>
  <c r="N93" i="17"/>
  <c r="N30" i="17"/>
  <c r="L22" i="17"/>
  <c r="L93" i="17"/>
  <c r="L30" i="17"/>
  <c r="F22" i="17"/>
  <c r="F93" i="17"/>
  <c r="F30" i="17"/>
  <c r="K22" i="17"/>
  <c r="K93" i="17"/>
  <c r="K30" i="17"/>
  <c r="T93" i="17"/>
  <c r="T22" i="17"/>
  <c r="T30" i="17"/>
  <c r="H93" i="17"/>
  <c r="H22" i="17"/>
  <c r="H30" i="17"/>
  <c r="M93" i="17"/>
  <c r="M22" i="17"/>
  <c r="M30" i="17"/>
  <c r="G22" i="17"/>
  <c r="G93" i="17"/>
  <c r="G30" i="17"/>
  <c r="I22" i="17"/>
  <c r="I93" i="17"/>
  <c r="I30" i="17"/>
  <c r="Q93" i="17"/>
  <c r="Q22" i="17"/>
  <c r="Q30" i="17"/>
  <c r="P93" i="17"/>
  <c r="P22" i="17"/>
  <c r="P30" i="17"/>
  <c r="O93" i="17"/>
  <c r="O22" i="17"/>
  <c r="O30" i="17"/>
  <c r="J93" i="17"/>
  <c r="J22" i="17"/>
  <c r="J30" i="17"/>
  <c r="R22" i="17"/>
  <c r="R93" i="17"/>
  <c r="R30" i="17"/>
  <c r="S93" i="17"/>
  <c r="S22" i="17"/>
  <c r="S30" i="17"/>
  <c r="T37" i="17"/>
  <c r="T33" i="17"/>
  <c r="Q26" i="17"/>
  <c r="Q27" i="17"/>
  <c r="Q25" i="17"/>
  <c r="Q28" i="17"/>
  <c r="Q29" i="17"/>
  <c r="P25" i="17"/>
  <c r="P28" i="17"/>
  <c r="P27" i="17"/>
  <c r="P26" i="17"/>
  <c r="P29" i="17"/>
  <c r="I26" i="17"/>
  <c r="I28" i="17"/>
  <c r="I25" i="17"/>
  <c r="I27" i="17"/>
  <c r="I29" i="17"/>
  <c r="O27" i="17"/>
  <c r="O25" i="17"/>
  <c r="O28" i="17"/>
  <c r="O26" i="17"/>
  <c r="O29" i="17"/>
  <c r="J27" i="17"/>
  <c r="J26" i="17"/>
  <c r="J25" i="17"/>
  <c r="J28" i="17"/>
  <c r="J29" i="17"/>
  <c r="S28" i="17"/>
  <c r="S27" i="17"/>
  <c r="S26" i="17"/>
  <c r="S25" i="17"/>
  <c r="S29" i="17"/>
  <c r="L28" i="17"/>
  <c r="L27" i="17"/>
  <c r="L26" i="17"/>
  <c r="L25" i="17"/>
  <c r="L29" i="17"/>
  <c r="R27" i="17"/>
  <c r="R26" i="17"/>
  <c r="R25" i="17"/>
  <c r="R28" i="17"/>
  <c r="R29" i="17"/>
  <c r="N25" i="17"/>
  <c r="N28" i="17"/>
  <c r="N26" i="17"/>
  <c r="N27" i="17"/>
  <c r="N29" i="17"/>
  <c r="H25" i="17"/>
  <c r="H28" i="17"/>
  <c r="H27" i="17"/>
  <c r="H26" i="17"/>
  <c r="H29" i="17"/>
  <c r="M25" i="17"/>
  <c r="M28" i="17"/>
  <c r="M27" i="17"/>
  <c r="M26" i="17"/>
  <c r="M29" i="17"/>
  <c r="F25" i="17"/>
  <c r="F26" i="17"/>
  <c r="F28" i="17"/>
  <c r="F27" i="17"/>
  <c r="F29" i="17"/>
  <c r="K28" i="17"/>
  <c r="K27" i="17"/>
  <c r="K26" i="17"/>
  <c r="K25" i="17"/>
  <c r="K29" i="17"/>
  <c r="G25" i="17"/>
  <c r="G26" i="17"/>
  <c r="G28" i="17"/>
  <c r="G27" i="17"/>
  <c r="G29" i="17"/>
  <c r="T28" i="17"/>
  <c r="T27" i="17"/>
  <c r="T26" i="17"/>
  <c r="T25" i="17"/>
  <c r="T29" i="17"/>
  <c r="C84" i="14" l="1"/>
  <c r="C83" i="14"/>
  <c r="E13" i="29" l="1"/>
  <c r="O125" i="1"/>
  <c r="T14" i="28" l="1"/>
  <c r="T13" i="28" s="1"/>
  <c r="S14" i="28"/>
  <c r="S13" i="28" s="1"/>
  <c r="R14" i="28"/>
  <c r="R13" i="28" s="1"/>
  <c r="P14" i="28"/>
  <c r="P13" i="28" s="1"/>
  <c r="O14" i="28"/>
  <c r="O13" i="28" s="1"/>
  <c r="N14" i="28"/>
  <c r="N13" i="28" s="1"/>
  <c r="M14" i="28"/>
  <c r="M13" i="28" s="1"/>
  <c r="L14" i="28"/>
  <c r="L13" i="28" s="1"/>
  <c r="K14" i="28"/>
  <c r="K13" i="28" s="1"/>
  <c r="J14" i="28"/>
  <c r="J13" i="28" s="1"/>
  <c r="Q14" i="28" l="1"/>
  <c r="Q13" i="28" s="1"/>
  <c r="E14" i="28"/>
  <c r="E13" i="28" s="1"/>
  <c r="H14" i="28"/>
  <c r="H13" i="28" s="1"/>
  <c r="G14" i="28"/>
  <c r="G13" i="28" s="1"/>
  <c r="I14" i="28"/>
  <c r="I13" i="28" s="1"/>
  <c r="F14" i="28"/>
  <c r="F13" i="28" s="1"/>
  <c r="D235" i="1" l="1"/>
  <c r="D279" i="1"/>
  <c r="D223" i="1"/>
  <c r="D222" i="1" s="1"/>
  <c r="D311" i="1"/>
  <c r="D310" i="1" s="1"/>
  <c r="D323" i="1"/>
  <c r="E37" i="28" l="1"/>
  <c r="E33" i="28"/>
  <c r="E37" i="29"/>
  <c r="E33" i="29"/>
  <c r="D253" i="1"/>
  <c r="E33" i="17"/>
  <c r="D341" i="1"/>
  <c r="D301" i="1"/>
  <c r="D278" i="1"/>
  <c r="D265" i="1" s="1"/>
  <c r="D257" i="1"/>
  <c r="D234" i="1"/>
  <c r="D221" i="1" s="1"/>
  <c r="D345" i="1"/>
  <c r="E47" i="29" s="1"/>
  <c r="D322" i="1"/>
  <c r="D309" i="1" s="1"/>
  <c r="D215" i="1" l="1"/>
  <c r="E22" i="29"/>
  <c r="E93" i="29"/>
  <c r="E30" i="29"/>
  <c r="E93" i="17"/>
  <c r="E22" i="17"/>
  <c r="E30" i="17"/>
  <c r="E93" i="28"/>
  <c r="E22" i="28"/>
  <c r="E30" i="28"/>
  <c r="E37" i="17"/>
  <c r="E36" i="17" s="1"/>
  <c r="E29" i="28"/>
  <c r="E28" i="28"/>
  <c r="E27" i="28"/>
  <c r="E25" i="28"/>
  <c r="E26" i="28"/>
  <c r="E28" i="29"/>
  <c r="E27" i="29"/>
  <c r="E25" i="29"/>
  <c r="E26" i="29"/>
  <c r="E29" i="29"/>
  <c r="E28" i="17"/>
  <c r="E25" i="17"/>
  <c r="E27" i="17"/>
  <c r="E26" i="17"/>
  <c r="E29" i="17"/>
  <c r="D112" i="14" l="1"/>
  <c r="B57" i="14" l="1"/>
  <c r="B65" i="14" s="1"/>
  <c r="B73" i="14" s="1"/>
  <c r="D78" i="14" l="1"/>
  <c r="E80" i="1" l="1"/>
  <c r="F80" i="1" s="1"/>
  <c r="G80" i="1" s="1"/>
  <c r="H80" i="1" s="1"/>
  <c r="I80" i="1" s="1"/>
  <c r="J80" i="1" s="1"/>
  <c r="K80" i="1" s="1"/>
  <c r="L80" i="1" s="1"/>
  <c r="M80" i="1" s="1"/>
  <c r="N80" i="1" s="1"/>
  <c r="O80" i="1" s="1"/>
  <c r="P80" i="1" s="1"/>
  <c r="Q80" i="1" s="1"/>
  <c r="R80" i="1" s="1"/>
  <c r="S80" i="1" s="1"/>
  <c r="T80" i="1" s="1"/>
  <c r="U80" i="1" s="1"/>
  <c r="E86" i="1"/>
  <c r="D116" i="29" l="1"/>
  <c r="D116" i="28"/>
  <c r="E75" i="14" l="1"/>
  <c r="F193" i="29" l="1"/>
  <c r="F190" i="29"/>
  <c r="U184" i="29"/>
  <c r="T184" i="29"/>
  <c r="S184" i="29"/>
  <c r="R184" i="29"/>
  <c r="Q184" i="29"/>
  <c r="P184" i="29"/>
  <c r="O184" i="29"/>
  <c r="N184" i="29"/>
  <c r="M184" i="29"/>
  <c r="L184" i="29"/>
  <c r="K184" i="29"/>
  <c r="J184" i="29"/>
  <c r="I184" i="29"/>
  <c r="H184" i="29"/>
  <c r="G184" i="29"/>
  <c r="F184" i="29"/>
  <c r="E175" i="29"/>
  <c r="S164" i="29"/>
  <c r="S171" i="29" s="1"/>
  <c r="R164" i="29"/>
  <c r="R171" i="29" s="1"/>
  <c r="Q164" i="29"/>
  <c r="Q171" i="29" s="1"/>
  <c r="P164" i="29"/>
  <c r="P171" i="29" s="1"/>
  <c r="O164" i="29"/>
  <c r="O171" i="29" s="1"/>
  <c r="N164" i="29"/>
  <c r="N171" i="29" s="1"/>
  <c r="M164" i="29"/>
  <c r="M171" i="29" s="1"/>
  <c r="L164" i="29"/>
  <c r="L171" i="29" s="1"/>
  <c r="K164" i="29"/>
  <c r="K171" i="29" s="1"/>
  <c r="J164" i="29"/>
  <c r="J171" i="29" s="1"/>
  <c r="I164" i="29"/>
  <c r="I171" i="29" s="1"/>
  <c r="H164" i="29"/>
  <c r="H171" i="29" s="1"/>
  <c r="G164" i="29"/>
  <c r="G171" i="29" s="1"/>
  <c r="F164" i="29"/>
  <c r="F171" i="29" s="1"/>
  <c r="E164" i="29"/>
  <c r="E171" i="29" s="1"/>
  <c r="T159" i="29"/>
  <c r="S159" i="29"/>
  <c r="R159" i="29"/>
  <c r="Q159" i="29"/>
  <c r="P159" i="29"/>
  <c r="O159" i="29"/>
  <c r="N159" i="29"/>
  <c r="M159" i="29"/>
  <c r="L159" i="29"/>
  <c r="K159" i="29"/>
  <c r="J159" i="29"/>
  <c r="I159" i="29"/>
  <c r="H159" i="29"/>
  <c r="G159" i="29"/>
  <c r="F159" i="29"/>
  <c r="E159" i="29"/>
  <c r="T158" i="29"/>
  <c r="S158" i="29"/>
  <c r="R158" i="29"/>
  <c r="Q158" i="29"/>
  <c r="P158" i="29"/>
  <c r="O158" i="29"/>
  <c r="N158" i="29"/>
  <c r="M158" i="29"/>
  <c r="L158" i="29"/>
  <c r="K158" i="29"/>
  <c r="J158" i="29"/>
  <c r="I158" i="29"/>
  <c r="H158" i="29"/>
  <c r="G158" i="29"/>
  <c r="F158" i="29"/>
  <c r="E158" i="29"/>
  <c r="T157" i="29"/>
  <c r="S157" i="29"/>
  <c r="R157" i="29"/>
  <c r="Q157" i="29"/>
  <c r="P157" i="29"/>
  <c r="O157" i="29"/>
  <c r="N157" i="29"/>
  <c r="M157" i="29"/>
  <c r="L157" i="29"/>
  <c r="K157" i="29"/>
  <c r="J157" i="29"/>
  <c r="I157" i="29"/>
  <c r="H157" i="29"/>
  <c r="G157" i="29"/>
  <c r="F157" i="29"/>
  <c r="E157" i="29"/>
  <c r="F150" i="29"/>
  <c r="G150" i="29" s="1"/>
  <c r="E148" i="29"/>
  <c r="D144" i="29"/>
  <c r="D143" i="29"/>
  <c r="D141" i="29"/>
  <c r="F139" i="29"/>
  <c r="G139" i="29" s="1"/>
  <c r="H139" i="29" s="1"/>
  <c r="I139" i="29" s="1"/>
  <c r="J139" i="29" s="1"/>
  <c r="K139" i="29" s="1"/>
  <c r="L139" i="29" s="1"/>
  <c r="M139" i="29" s="1"/>
  <c r="N139" i="29" s="1"/>
  <c r="O139" i="29" s="1"/>
  <c r="P139" i="29" s="1"/>
  <c r="Q139" i="29" s="1"/>
  <c r="R139" i="29" s="1"/>
  <c r="S139" i="29" s="1"/>
  <c r="T139" i="29" s="1"/>
  <c r="U139" i="29" s="1"/>
  <c r="E134" i="29"/>
  <c r="F122" i="29"/>
  <c r="D115" i="29"/>
  <c r="D113" i="29"/>
  <c r="F111" i="29"/>
  <c r="G111" i="29" s="1"/>
  <c r="H111" i="29" s="1"/>
  <c r="I111" i="29" s="1"/>
  <c r="J111" i="29" s="1"/>
  <c r="K111" i="29" s="1"/>
  <c r="L111" i="29" s="1"/>
  <c r="M111" i="29" s="1"/>
  <c r="N111" i="29" s="1"/>
  <c r="O111" i="29" s="1"/>
  <c r="P111" i="29" s="1"/>
  <c r="Q111" i="29" s="1"/>
  <c r="R111" i="29" s="1"/>
  <c r="S111" i="29" s="1"/>
  <c r="T111" i="29" s="1"/>
  <c r="D107" i="29"/>
  <c r="D105" i="29"/>
  <c r="E96" i="29"/>
  <c r="E88" i="29"/>
  <c r="E92" i="29" s="1"/>
  <c r="T44" i="29"/>
  <c r="S44" i="29"/>
  <c r="R44" i="29"/>
  <c r="Q44" i="29"/>
  <c r="P44" i="29"/>
  <c r="O44" i="29"/>
  <c r="N44" i="29"/>
  <c r="M44" i="29"/>
  <c r="L44" i="29"/>
  <c r="K44" i="29"/>
  <c r="J44" i="29"/>
  <c r="I44" i="29"/>
  <c r="H44" i="29"/>
  <c r="G44" i="29"/>
  <c r="F44" i="29"/>
  <c r="E44" i="29"/>
  <c r="E43" i="29"/>
  <c r="E9" i="29"/>
  <c r="E5" i="29"/>
  <c r="F183" i="29" s="1"/>
  <c r="F186" i="29" s="1"/>
  <c r="F189" i="29" s="1"/>
  <c r="F192" i="29" s="1"/>
  <c r="F2" i="29"/>
  <c r="G2" i="29" s="1"/>
  <c r="H2" i="29" s="1"/>
  <c r="I2" i="29" s="1"/>
  <c r="J2" i="29" s="1"/>
  <c r="K2" i="29" s="1"/>
  <c r="L2" i="29" s="1"/>
  <c r="M2" i="29" s="1"/>
  <c r="N2" i="29" s="1"/>
  <c r="O2" i="29" s="1"/>
  <c r="P2" i="29" s="1"/>
  <c r="Q2" i="29" s="1"/>
  <c r="R2" i="29" s="1"/>
  <c r="S2" i="29" s="1"/>
  <c r="T2" i="29" s="1"/>
  <c r="F148" i="29" l="1"/>
  <c r="G148" i="29" s="1"/>
  <c r="H148" i="29" s="1"/>
  <c r="I148" i="29" s="1"/>
  <c r="J148" i="29" s="1"/>
  <c r="K148" i="29" s="1"/>
  <c r="L148" i="29" s="1"/>
  <c r="M148" i="29" s="1"/>
  <c r="N148" i="29" s="1"/>
  <c r="F5" i="29"/>
  <c r="G183" i="29" s="1"/>
  <c r="G186" i="29" s="1"/>
  <c r="G189" i="29" s="1"/>
  <c r="G192" i="29" s="1"/>
  <c r="H150" i="29"/>
  <c r="I150" i="29" s="1"/>
  <c r="G122" i="29"/>
  <c r="E148" i="28"/>
  <c r="F148" i="28" l="1"/>
  <c r="O148" i="29"/>
  <c r="G5" i="29"/>
  <c r="H183" i="29" s="1"/>
  <c r="H186" i="29" s="1"/>
  <c r="H189" i="29" s="1"/>
  <c r="H192" i="29" s="1"/>
  <c r="H122" i="29"/>
  <c r="J150" i="29"/>
  <c r="G148" i="28" l="1"/>
  <c r="P148" i="29"/>
  <c r="H5" i="29"/>
  <c r="I183" i="29" s="1"/>
  <c r="I186" i="29" s="1"/>
  <c r="I189" i="29" s="1"/>
  <c r="I192" i="29" s="1"/>
  <c r="K150" i="29"/>
  <c r="I122" i="29"/>
  <c r="H148" i="28" l="1"/>
  <c r="Q148" i="29"/>
  <c r="I5" i="29"/>
  <c r="J5" i="29" s="1"/>
  <c r="J122" i="29"/>
  <c r="L150" i="29"/>
  <c r="I148" i="28" l="1"/>
  <c r="J183" i="29"/>
  <c r="J186" i="29" s="1"/>
  <c r="J189" i="29" s="1"/>
  <c r="J192" i="29" s="1"/>
  <c r="R148" i="29"/>
  <c r="K122" i="29"/>
  <c r="K183" i="29"/>
  <c r="K186" i="29" s="1"/>
  <c r="K189" i="29" s="1"/>
  <c r="K192" i="29" s="1"/>
  <c r="K5" i="29"/>
  <c r="M150" i="29"/>
  <c r="J148" i="28" l="1"/>
  <c r="S148" i="29"/>
  <c r="L122" i="29"/>
  <c r="N150" i="29"/>
  <c r="L183" i="29"/>
  <c r="L186" i="29" s="1"/>
  <c r="L189" i="29" s="1"/>
  <c r="L192" i="29" s="1"/>
  <c r="L5" i="29"/>
  <c r="K148" i="28" l="1"/>
  <c r="T148" i="29"/>
  <c r="S117" i="29"/>
  <c r="S118" i="29" s="1"/>
  <c r="S145" i="29"/>
  <c r="S146" i="29" s="1"/>
  <c r="O150" i="29"/>
  <c r="M183" i="29"/>
  <c r="M186" i="29" s="1"/>
  <c r="M189" i="29" s="1"/>
  <c r="M192" i="29" s="1"/>
  <c r="M5" i="29"/>
  <c r="M122" i="29"/>
  <c r="L148" i="28" l="1"/>
  <c r="T117" i="29"/>
  <c r="T118" i="29" s="1"/>
  <c r="T145" i="29"/>
  <c r="T146" i="29" s="1"/>
  <c r="N183" i="29"/>
  <c r="N186" i="29" s="1"/>
  <c r="N189" i="29" s="1"/>
  <c r="N192" i="29" s="1"/>
  <c r="N5" i="29"/>
  <c r="P150" i="29"/>
  <c r="N122" i="29"/>
  <c r="M148" i="28" l="1"/>
  <c r="N137" i="1"/>
  <c r="O137" i="1"/>
  <c r="N146" i="1"/>
  <c r="O146" i="1"/>
  <c r="Q150" i="29"/>
  <c r="O122" i="29"/>
  <c r="O183" i="29"/>
  <c r="O186" i="29" s="1"/>
  <c r="O189" i="29" s="1"/>
  <c r="O192" i="29" s="1"/>
  <c r="O5" i="29"/>
  <c r="N148" i="28" l="1"/>
  <c r="O147" i="1"/>
  <c r="N147" i="1"/>
  <c r="E14" i="17"/>
  <c r="E13" i="17" s="1"/>
  <c r="F14" i="17"/>
  <c r="F13" i="17" s="1"/>
  <c r="P122" i="29"/>
  <c r="P183" i="29"/>
  <c r="P186" i="29" s="1"/>
  <c r="P189" i="29" s="1"/>
  <c r="P192" i="29" s="1"/>
  <c r="P5" i="29"/>
  <c r="R150" i="29"/>
  <c r="O148" i="28" l="1"/>
  <c r="E97" i="17"/>
  <c r="E48" i="17"/>
  <c r="G14" i="17"/>
  <c r="G13" i="17" s="1"/>
  <c r="Q122" i="29"/>
  <c r="S150" i="29"/>
  <c r="Q183" i="29"/>
  <c r="Q186" i="29" s="1"/>
  <c r="Q189" i="29" s="1"/>
  <c r="Q192" i="29" s="1"/>
  <c r="Q5" i="29"/>
  <c r="P148" i="28" l="1"/>
  <c r="F48" i="17"/>
  <c r="F97" i="17"/>
  <c r="H14" i="17"/>
  <c r="H13" i="17" s="1"/>
  <c r="R122" i="29"/>
  <c r="R183" i="29"/>
  <c r="R186" i="29" s="1"/>
  <c r="R189" i="29" s="1"/>
  <c r="R192" i="29" s="1"/>
  <c r="R5" i="29"/>
  <c r="T150" i="29"/>
  <c r="Q148" i="28" l="1"/>
  <c r="G48" i="17"/>
  <c r="G97" i="17"/>
  <c r="I14" i="17"/>
  <c r="I13" i="17" s="1"/>
  <c r="E97" i="28"/>
  <c r="E48" i="29"/>
  <c r="E46" i="29"/>
  <c r="S122" i="29"/>
  <c r="S183" i="29"/>
  <c r="S186" i="29" s="1"/>
  <c r="S189" i="29" s="1"/>
  <c r="S192" i="29" s="1"/>
  <c r="S5" i="29"/>
  <c r="Q145" i="28" l="1"/>
  <c r="R148" i="28"/>
  <c r="H48" i="17"/>
  <c r="E48" i="28"/>
  <c r="J14" i="17"/>
  <c r="J13" i="17" s="1"/>
  <c r="E98" i="29"/>
  <c r="T183" i="29"/>
  <c r="T186" i="29" s="1"/>
  <c r="T189" i="29" s="1"/>
  <c r="T192" i="29" s="1"/>
  <c r="T5" i="29"/>
  <c r="T122" i="29"/>
  <c r="R145" i="28" l="1"/>
  <c r="R117" i="28"/>
  <c r="S148" i="28"/>
  <c r="I48" i="17"/>
  <c r="K14" i="17"/>
  <c r="K13" i="17" s="1"/>
  <c r="P147" i="1"/>
  <c r="U183" i="29"/>
  <c r="U186" i="29" s="1"/>
  <c r="U189" i="29" s="1"/>
  <c r="U192" i="29" s="1"/>
  <c r="E140" i="29"/>
  <c r="F140" i="29" s="1"/>
  <c r="G140" i="29" s="1"/>
  <c r="H140" i="29" s="1"/>
  <c r="I140" i="29" s="1"/>
  <c r="J140" i="29" s="1"/>
  <c r="K140" i="29" s="1"/>
  <c r="L140" i="29" s="1"/>
  <c r="M140" i="29" s="1"/>
  <c r="N140" i="29" s="1"/>
  <c r="O140" i="29" s="1"/>
  <c r="P140" i="29" s="1"/>
  <c r="Q140" i="29" s="1"/>
  <c r="R140" i="29" s="1"/>
  <c r="S140" i="29" s="1"/>
  <c r="T140" i="29" s="1"/>
  <c r="U140" i="29" s="1"/>
  <c r="E112" i="29"/>
  <c r="F112" i="29" s="1"/>
  <c r="G112" i="29" s="1"/>
  <c r="H112" i="29" s="1"/>
  <c r="I112" i="29" s="1"/>
  <c r="J112" i="29" s="1"/>
  <c r="K112" i="29" s="1"/>
  <c r="L112" i="29" s="1"/>
  <c r="M112" i="29" s="1"/>
  <c r="N112" i="29" s="1"/>
  <c r="O112" i="29" s="1"/>
  <c r="P112" i="29" s="1"/>
  <c r="Q112" i="29" s="1"/>
  <c r="R112" i="29" s="1"/>
  <c r="S112" i="29" s="1"/>
  <c r="T112" i="29" s="1"/>
  <c r="S145" i="28" l="1"/>
  <c r="T148" i="28"/>
  <c r="S117" i="28"/>
  <c r="J48" i="17"/>
  <c r="L14" i="17"/>
  <c r="L13" i="17" s="1"/>
  <c r="T145" i="28" l="1"/>
  <c r="T117" i="28"/>
  <c r="E21" i="28"/>
  <c r="K48" i="17"/>
  <c r="M14" i="17"/>
  <c r="M13" i="17" s="1"/>
  <c r="L48" i="17" l="1"/>
  <c r="N14" i="17"/>
  <c r="N13" i="17" s="1"/>
  <c r="M48" i="17" l="1"/>
  <c r="O14" i="17"/>
  <c r="O13" i="17" s="1"/>
  <c r="N48" i="17" l="1"/>
  <c r="P14" i="17"/>
  <c r="P13" i="17" s="1"/>
  <c r="F193" i="28"/>
  <c r="F190" i="28"/>
  <c r="U184" i="28"/>
  <c r="T184" i="28"/>
  <c r="S184" i="28"/>
  <c r="R184" i="28"/>
  <c r="Q184" i="28"/>
  <c r="P184" i="28"/>
  <c r="O184" i="28"/>
  <c r="N184" i="28"/>
  <c r="M184" i="28"/>
  <c r="L184" i="28"/>
  <c r="K184" i="28"/>
  <c r="J184" i="28"/>
  <c r="I184" i="28"/>
  <c r="H184" i="28"/>
  <c r="G184" i="28"/>
  <c r="F184" i="28"/>
  <c r="E175" i="28"/>
  <c r="S164" i="28"/>
  <c r="S171" i="28" s="1"/>
  <c r="R164" i="28"/>
  <c r="R171" i="28" s="1"/>
  <c r="Q164" i="28"/>
  <c r="Q171" i="28" s="1"/>
  <c r="P164" i="28"/>
  <c r="P171" i="28" s="1"/>
  <c r="O164" i="28"/>
  <c r="O171" i="28" s="1"/>
  <c r="N164" i="28"/>
  <c r="N171" i="28" s="1"/>
  <c r="M164" i="28"/>
  <c r="M171" i="28" s="1"/>
  <c r="L164" i="28"/>
  <c r="L171" i="28" s="1"/>
  <c r="K164" i="28"/>
  <c r="K171" i="28" s="1"/>
  <c r="J164" i="28"/>
  <c r="J171" i="28" s="1"/>
  <c r="I164" i="28"/>
  <c r="I171" i="28" s="1"/>
  <c r="H164" i="28"/>
  <c r="H171" i="28" s="1"/>
  <c r="G164" i="28"/>
  <c r="G171" i="28" s="1"/>
  <c r="F164" i="28"/>
  <c r="F171" i="28" s="1"/>
  <c r="E164" i="28"/>
  <c r="E171" i="28" s="1"/>
  <c r="T159" i="28"/>
  <c r="S159" i="28"/>
  <c r="R159" i="28"/>
  <c r="Q159" i="28"/>
  <c r="P159" i="28"/>
  <c r="O159" i="28"/>
  <c r="N159" i="28"/>
  <c r="M159" i="28"/>
  <c r="L159" i="28"/>
  <c r="K159" i="28"/>
  <c r="J159" i="28"/>
  <c r="I159" i="28"/>
  <c r="H159" i="28"/>
  <c r="G159" i="28"/>
  <c r="F159" i="28"/>
  <c r="E159" i="28"/>
  <c r="T158" i="28"/>
  <c r="S158" i="28"/>
  <c r="R158" i="28"/>
  <c r="Q158" i="28"/>
  <c r="P158" i="28"/>
  <c r="O158" i="28"/>
  <c r="N158" i="28"/>
  <c r="M158" i="28"/>
  <c r="L158" i="28"/>
  <c r="K158" i="28"/>
  <c r="J158" i="28"/>
  <c r="I158" i="28"/>
  <c r="H158" i="28"/>
  <c r="G158" i="28"/>
  <c r="F158" i="28"/>
  <c r="E158" i="28"/>
  <c r="T157" i="28"/>
  <c r="S157" i="28"/>
  <c r="R157" i="28"/>
  <c r="Q157" i="28"/>
  <c r="P157" i="28"/>
  <c r="O157" i="28"/>
  <c r="N157" i="28"/>
  <c r="M157" i="28"/>
  <c r="L157" i="28"/>
  <c r="K157" i="28"/>
  <c r="J157" i="28"/>
  <c r="I157" i="28"/>
  <c r="H157" i="28"/>
  <c r="G157" i="28"/>
  <c r="F157" i="28"/>
  <c r="E157" i="28"/>
  <c r="F150" i="28"/>
  <c r="G150" i="28" s="1"/>
  <c r="H150" i="28" s="1"/>
  <c r="D144" i="28"/>
  <c r="D143" i="28"/>
  <c r="D141" i="28"/>
  <c r="F139" i="28"/>
  <c r="G139" i="28" s="1"/>
  <c r="H139" i="28" s="1"/>
  <c r="I139" i="28" s="1"/>
  <c r="J139" i="28" s="1"/>
  <c r="K139" i="28" s="1"/>
  <c r="L139" i="28" s="1"/>
  <c r="M139" i="28" s="1"/>
  <c r="N139" i="28" s="1"/>
  <c r="O139" i="28" s="1"/>
  <c r="P139" i="28" s="1"/>
  <c r="Q139" i="28" s="1"/>
  <c r="R139" i="28" s="1"/>
  <c r="S139" i="28" s="1"/>
  <c r="T139" i="28" s="1"/>
  <c r="U139" i="28" s="1"/>
  <c r="E134" i="28"/>
  <c r="F122" i="28"/>
  <c r="G122" i="28" s="1"/>
  <c r="H122" i="28" s="1"/>
  <c r="I122" i="28" s="1"/>
  <c r="J122" i="28" s="1"/>
  <c r="K122" i="28" s="1"/>
  <c r="D115" i="28"/>
  <c r="D113" i="28"/>
  <c r="F111" i="28"/>
  <c r="G111" i="28" s="1"/>
  <c r="H111" i="28" s="1"/>
  <c r="I111" i="28" s="1"/>
  <c r="J111" i="28" s="1"/>
  <c r="K111" i="28" s="1"/>
  <c r="L111" i="28" s="1"/>
  <c r="M111" i="28" s="1"/>
  <c r="N111" i="28" s="1"/>
  <c r="O111" i="28" s="1"/>
  <c r="P111" i="28" s="1"/>
  <c r="Q111" i="28" s="1"/>
  <c r="R111" i="28" s="1"/>
  <c r="S111" i="28" s="1"/>
  <c r="T111" i="28" s="1"/>
  <c r="D107" i="28"/>
  <c r="D105" i="28"/>
  <c r="E96" i="28"/>
  <c r="E88" i="28"/>
  <c r="E92" i="28" s="1"/>
  <c r="T44" i="28"/>
  <c r="S44" i="28"/>
  <c r="R44" i="28"/>
  <c r="Q44" i="28"/>
  <c r="P44" i="28"/>
  <c r="O44" i="28"/>
  <c r="N44" i="28"/>
  <c r="M44" i="28"/>
  <c r="L44" i="28"/>
  <c r="K44" i="28"/>
  <c r="J44" i="28"/>
  <c r="I44" i="28"/>
  <c r="H44" i="28"/>
  <c r="G44" i="28"/>
  <c r="F44" i="28"/>
  <c r="E44" i="28"/>
  <c r="E43" i="28"/>
  <c r="E9" i="28"/>
  <c r="E5" i="28"/>
  <c r="F183" i="28" s="1"/>
  <c r="F186" i="28" s="1"/>
  <c r="F189" i="28" s="1"/>
  <c r="F192" i="28" s="1"/>
  <c r="F2" i="28"/>
  <c r="G2" i="28" s="1"/>
  <c r="H2" i="28" s="1"/>
  <c r="I2" i="28" s="1"/>
  <c r="J2" i="28" s="1"/>
  <c r="K2" i="28" s="1"/>
  <c r="L2" i="28" s="1"/>
  <c r="M2" i="28" s="1"/>
  <c r="N2" i="28" s="1"/>
  <c r="O2" i="28" s="1"/>
  <c r="P2" i="28" s="1"/>
  <c r="Q2" i="28" s="1"/>
  <c r="R2" i="28" s="1"/>
  <c r="S2" i="28" s="1"/>
  <c r="T2" i="28" s="1"/>
  <c r="O48" i="17" l="1"/>
  <c r="Q14" i="17"/>
  <c r="Q13" i="17" s="1"/>
  <c r="L122" i="28"/>
  <c r="F5" i="28"/>
  <c r="I150" i="28"/>
  <c r="J150" i="28" s="1"/>
  <c r="F107" i="17"/>
  <c r="F106" i="29" s="1"/>
  <c r="G107" i="17"/>
  <c r="G106" i="29" s="1"/>
  <c r="H107" i="17"/>
  <c r="H106" i="29" s="1"/>
  <c r="I107" i="17"/>
  <c r="I106" i="29" s="1"/>
  <c r="J107" i="17"/>
  <c r="J106" i="29" s="1"/>
  <c r="K107" i="17"/>
  <c r="K106" i="29" s="1"/>
  <c r="L107" i="17"/>
  <c r="L106" i="29" s="1"/>
  <c r="E107" i="17"/>
  <c r="E106" i="29" s="1"/>
  <c r="F103" i="17"/>
  <c r="G103" i="17"/>
  <c r="H103" i="17"/>
  <c r="I103" i="17"/>
  <c r="J103" i="17"/>
  <c r="K103" i="17"/>
  <c r="L103" i="17"/>
  <c r="M103" i="17"/>
  <c r="N103" i="17"/>
  <c r="O103" i="17"/>
  <c r="P103" i="17"/>
  <c r="Q103" i="17"/>
  <c r="R103" i="17"/>
  <c r="S103" i="17"/>
  <c r="T103" i="17"/>
  <c r="E103" i="17"/>
  <c r="E7" i="14"/>
  <c r="E13" i="14" s="1"/>
  <c r="F13" i="14" s="1"/>
  <c r="G13" i="14" s="1"/>
  <c r="H13" i="14" s="1"/>
  <c r="I13" i="14" s="1"/>
  <c r="J13" i="14" s="1"/>
  <c r="K13" i="14" s="1"/>
  <c r="L13" i="14" s="1"/>
  <c r="M13" i="14" s="1"/>
  <c r="N13" i="14" s="1"/>
  <c r="O13" i="14" s="1"/>
  <c r="P13" i="14" s="1"/>
  <c r="Q13" i="14" s="1"/>
  <c r="R13" i="14" s="1"/>
  <c r="S13" i="14" s="1"/>
  <c r="T13" i="14" s="1"/>
  <c r="E1" i="14"/>
  <c r="F1" i="14" s="1"/>
  <c r="J104" i="29" l="1"/>
  <c r="G104" i="29"/>
  <c r="G131" i="29" s="1"/>
  <c r="I104" i="29"/>
  <c r="L104" i="29"/>
  <c r="H104" i="29"/>
  <c r="P48" i="17"/>
  <c r="R14" i="17"/>
  <c r="R13" i="17" s="1"/>
  <c r="T103" i="28"/>
  <c r="T130" i="28" s="1"/>
  <c r="T103" i="29"/>
  <c r="T130" i="29" s="1"/>
  <c r="P103" i="28"/>
  <c r="P130" i="28" s="1"/>
  <c r="P103" i="29"/>
  <c r="P130" i="29" s="1"/>
  <c r="L103" i="28"/>
  <c r="L130" i="28" s="1"/>
  <c r="L103" i="29"/>
  <c r="L130" i="29" s="1"/>
  <c r="H103" i="28"/>
  <c r="H130" i="28" s="1"/>
  <c r="H103" i="29"/>
  <c r="H130" i="29" s="1"/>
  <c r="L106" i="28"/>
  <c r="L104" i="28" s="1"/>
  <c r="L154" i="28" s="1"/>
  <c r="L163" i="28" s="1"/>
  <c r="H106" i="28"/>
  <c r="H104" i="28" s="1"/>
  <c r="H131" i="28" s="1"/>
  <c r="S103" i="28"/>
  <c r="S130" i="28" s="1"/>
  <c r="S103" i="29"/>
  <c r="S130" i="29" s="1"/>
  <c r="O103" i="28"/>
  <c r="O130" i="28" s="1"/>
  <c r="O103" i="29"/>
  <c r="O130" i="29" s="1"/>
  <c r="K103" i="28"/>
  <c r="K130" i="28" s="1"/>
  <c r="K103" i="29"/>
  <c r="K130" i="29" s="1"/>
  <c r="G103" i="28"/>
  <c r="G130" i="28" s="1"/>
  <c r="G103" i="29"/>
  <c r="G130" i="29" s="1"/>
  <c r="K106" i="28"/>
  <c r="K104" i="28" s="1"/>
  <c r="K131" i="28" s="1"/>
  <c r="K104" i="29"/>
  <c r="R103" i="28"/>
  <c r="R130" i="28" s="1"/>
  <c r="R103" i="29"/>
  <c r="R130" i="29" s="1"/>
  <c r="N103" i="28"/>
  <c r="N130" i="28" s="1"/>
  <c r="N103" i="29"/>
  <c r="N130" i="29" s="1"/>
  <c r="J103" i="28"/>
  <c r="J130" i="28" s="1"/>
  <c r="J103" i="29"/>
  <c r="J130" i="29" s="1"/>
  <c r="F103" i="28"/>
  <c r="F130" i="28" s="1"/>
  <c r="F103" i="29"/>
  <c r="F130" i="29" s="1"/>
  <c r="J106" i="28"/>
  <c r="J104" i="28" s="1"/>
  <c r="J154" i="28" s="1"/>
  <c r="J163" i="28" s="1"/>
  <c r="F106" i="28"/>
  <c r="F104" i="28" s="1"/>
  <c r="F154" i="28" s="1"/>
  <c r="F163" i="28" s="1"/>
  <c r="F104" i="29"/>
  <c r="E103" i="28"/>
  <c r="E130" i="28" s="1"/>
  <c r="E103" i="29"/>
  <c r="Q103" i="28"/>
  <c r="Q130" i="28" s="1"/>
  <c r="Q103" i="29"/>
  <c r="Q130" i="29" s="1"/>
  <c r="M103" i="28"/>
  <c r="M130" i="28" s="1"/>
  <c r="M103" i="29"/>
  <c r="M130" i="29" s="1"/>
  <c r="I103" i="28"/>
  <c r="I130" i="28" s="1"/>
  <c r="I103" i="29"/>
  <c r="I130" i="29" s="1"/>
  <c r="E106" i="28"/>
  <c r="E104" i="28" s="1"/>
  <c r="E154" i="28" s="1"/>
  <c r="E163" i="28" s="1"/>
  <c r="E104" i="29"/>
  <c r="I106" i="28"/>
  <c r="I104" i="28" s="1"/>
  <c r="I131" i="28" s="1"/>
  <c r="L104" i="17"/>
  <c r="H104" i="17"/>
  <c r="G106" i="28"/>
  <c r="K104" i="17"/>
  <c r="G104" i="17"/>
  <c r="J104" i="17"/>
  <c r="F104" i="17"/>
  <c r="E104" i="17"/>
  <c r="I104" i="17"/>
  <c r="G5" i="28"/>
  <c r="G183" i="28"/>
  <c r="G186" i="28" s="1"/>
  <c r="G189" i="28" s="1"/>
  <c r="G192" i="28" s="1"/>
  <c r="M122" i="28"/>
  <c r="K150" i="28"/>
  <c r="G1" i="14"/>
  <c r="G7" i="14"/>
  <c r="F7" i="14"/>
  <c r="E16" i="14"/>
  <c r="D103" i="29" l="1"/>
  <c r="H104" i="14" s="1"/>
  <c r="G154" i="29"/>
  <c r="G163" i="29" s="1"/>
  <c r="Q48" i="17"/>
  <c r="S14" i="17"/>
  <c r="S13" i="17" s="1"/>
  <c r="E131" i="28"/>
  <c r="K154" i="28"/>
  <c r="K163" i="28" s="1"/>
  <c r="F131" i="28"/>
  <c r="I154" i="28"/>
  <c r="I163" i="28" s="1"/>
  <c r="D103" i="28"/>
  <c r="D104" i="14" s="1"/>
  <c r="J131" i="28"/>
  <c r="H154" i="28"/>
  <c r="H163" i="28" s="1"/>
  <c r="L131" i="28"/>
  <c r="E131" i="29"/>
  <c r="E154" i="29"/>
  <c r="E163" i="29" s="1"/>
  <c r="E130" i="29"/>
  <c r="I131" i="29"/>
  <c r="I154" i="29"/>
  <c r="I163" i="29" s="1"/>
  <c r="F154" i="29"/>
  <c r="F163" i="29" s="1"/>
  <c r="F131" i="29"/>
  <c r="H154" i="29"/>
  <c r="H163" i="29" s="1"/>
  <c r="H131" i="29"/>
  <c r="J131" i="29"/>
  <c r="J154" i="29"/>
  <c r="J163" i="29" s="1"/>
  <c r="K131" i="29"/>
  <c r="K154" i="29"/>
  <c r="K163" i="29" s="1"/>
  <c r="L154" i="29"/>
  <c r="L163" i="29" s="1"/>
  <c r="L131" i="29"/>
  <c r="I16" i="14"/>
  <c r="I102" i="17" s="1"/>
  <c r="G104" i="28"/>
  <c r="L150" i="28"/>
  <c r="N122" i="28"/>
  <c r="H5" i="28"/>
  <c r="H183" i="28"/>
  <c r="H186" i="28" s="1"/>
  <c r="H189" i="28" s="1"/>
  <c r="H192" i="28" s="1"/>
  <c r="F16" i="14"/>
  <c r="F102" i="17" s="1"/>
  <c r="S16" i="14"/>
  <c r="S102" i="17" s="1"/>
  <c r="T16" i="14"/>
  <c r="T102" i="17" s="1"/>
  <c r="R16" i="14"/>
  <c r="R102" i="17" s="1"/>
  <c r="M16" i="14"/>
  <c r="M102" i="17" s="1"/>
  <c r="P16" i="14"/>
  <c r="P102" i="17" s="1"/>
  <c r="N16" i="14"/>
  <c r="N102" i="17" s="1"/>
  <c r="K16" i="14"/>
  <c r="K102" i="17" s="1"/>
  <c r="E102" i="17"/>
  <c r="H16" i="14"/>
  <c r="H102" i="17" s="1"/>
  <c r="Q16" i="14"/>
  <c r="Q102" i="17" s="1"/>
  <c r="G16" i="14"/>
  <c r="G102" i="17" s="1"/>
  <c r="L16" i="14"/>
  <c r="L102" i="17" s="1"/>
  <c r="J16" i="14"/>
  <c r="J102" i="17" s="1"/>
  <c r="O16" i="14"/>
  <c r="O102" i="17" s="1"/>
  <c r="H1" i="14"/>
  <c r="H7" i="14"/>
  <c r="E102" i="29" l="1"/>
  <c r="R48" i="17"/>
  <c r="T14" i="17"/>
  <c r="T13" i="17" s="1"/>
  <c r="G154" i="28"/>
  <c r="G163" i="28" s="1"/>
  <c r="G131" i="28"/>
  <c r="I183" i="28"/>
  <c r="I186" i="28" s="1"/>
  <c r="I189" i="28" s="1"/>
  <c r="I192" i="28" s="1"/>
  <c r="I5" i="28"/>
  <c r="O122" i="28"/>
  <c r="M150" i="28"/>
  <c r="I7" i="14"/>
  <c r="I1" i="14"/>
  <c r="E161" i="29" l="1"/>
  <c r="E101" i="29"/>
  <c r="E152" i="29" s="1"/>
  <c r="E129" i="29"/>
  <c r="E128" i="29" s="1"/>
  <c r="T48" i="17"/>
  <c r="S48" i="17"/>
  <c r="P122" i="28"/>
  <c r="J183" i="28"/>
  <c r="J186" i="28" s="1"/>
  <c r="J189" i="28" s="1"/>
  <c r="J192" i="28" s="1"/>
  <c r="J5" i="28"/>
  <c r="N150" i="28"/>
  <c r="J1" i="14"/>
  <c r="J7" i="14"/>
  <c r="K5" i="28" l="1"/>
  <c r="K183" i="28"/>
  <c r="K186" i="28" s="1"/>
  <c r="K189" i="28" s="1"/>
  <c r="K192" i="28" s="1"/>
  <c r="Q122" i="28"/>
  <c r="O150" i="28"/>
  <c r="K1" i="14"/>
  <c r="K7" i="14"/>
  <c r="L183" i="28" l="1"/>
  <c r="L186" i="28" s="1"/>
  <c r="L189" i="28" s="1"/>
  <c r="L192" i="28" s="1"/>
  <c r="L5" i="28"/>
  <c r="P150" i="28"/>
  <c r="R122" i="28"/>
  <c r="L1" i="14"/>
  <c r="L7" i="14"/>
  <c r="S122" i="28" l="1"/>
  <c r="Q150" i="28"/>
  <c r="M183" i="28"/>
  <c r="M186" i="28" s="1"/>
  <c r="M189" i="28" s="1"/>
  <c r="M192" i="28" s="1"/>
  <c r="M5" i="28"/>
  <c r="M7" i="14"/>
  <c r="M1" i="14"/>
  <c r="R150" i="28" l="1"/>
  <c r="N5" i="28"/>
  <c r="N183" i="28"/>
  <c r="N186" i="28" s="1"/>
  <c r="N189" i="28" s="1"/>
  <c r="N192" i="28" s="1"/>
  <c r="T122" i="28"/>
  <c r="N1" i="14"/>
  <c r="N7" i="14"/>
  <c r="O183" i="28" l="1"/>
  <c r="O186" i="28" s="1"/>
  <c r="O189" i="28" s="1"/>
  <c r="O192" i="28" s="1"/>
  <c r="O5" i="28"/>
  <c r="S150" i="28"/>
  <c r="O1" i="14"/>
  <c r="O7" i="14"/>
  <c r="T150" i="28" l="1"/>
  <c r="P183" i="28"/>
  <c r="P186" i="28" s="1"/>
  <c r="P189" i="28" s="1"/>
  <c r="P192" i="28" s="1"/>
  <c r="P5" i="28"/>
  <c r="P1" i="14"/>
  <c r="P7" i="14"/>
  <c r="Q183" i="28" l="1"/>
  <c r="Q186" i="28" s="1"/>
  <c r="Q189" i="28" s="1"/>
  <c r="Q192" i="28" s="1"/>
  <c r="Q5" i="28"/>
  <c r="Q7" i="14"/>
  <c r="Q1" i="14"/>
  <c r="R183" i="28" l="1"/>
  <c r="R186" i="28" s="1"/>
  <c r="R189" i="28" s="1"/>
  <c r="R192" i="28" s="1"/>
  <c r="R5" i="28"/>
  <c r="R1" i="14"/>
  <c r="R7" i="14"/>
  <c r="S183" i="28" l="1"/>
  <c r="S186" i="28" s="1"/>
  <c r="S189" i="28" s="1"/>
  <c r="S192" i="28" s="1"/>
  <c r="S5" i="28"/>
  <c r="S1" i="14"/>
  <c r="T7" i="14" s="1"/>
  <c r="S7" i="14"/>
  <c r="T183" i="28" l="1"/>
  <c r="T186" i="28" s="1"/>
  <c r="T189" i="28" s="1"/>
  <c r="T192" i="28" s="1"/>
  <c r="T5" i="28"/>
  <c r="E65" i="14"/>
  <c r="E73" i="14" s="1"/>
  <c r="F73" i="14" s="1"/>
  <c r="G73" i="14" s="1"/>
  <c r="H73" i="14" s="1"/>
  <c r="I73" i="14" s="1"/>
  <c r="J73" i="14" s="1"/>
  <c r="K73" i="14" s="1"/>
  <c r="L73" i="14" s="1"/>
  <c r="M73" i="14" s="1"/>
  <c r="N73" i="14" s="1"/>
  <c r="O73" i="14" s="1"/>
  <c r="P73" i="14" s="1"/>
  <c r="Q73" i="14" s="1"/>
  <c r="R73" i="14" s="1"/>
  <c r="S73" i="14" s="1"/>
  <c r="T73" i="14" s="1"/>
  <c r="E57" i="14"/>
  <c r="F65" i="14" s="1"/>
  <c r="E33" i="14"/>
  <c r="E41" i="14" s="1"/>
  <c r="E25" i="14"/>
  <c r="F33" i="14" s="1"/>
  <c r="U183" i="28" l="1"/>
  <c r="U186" i="28" s="1"/>
  <c r="U189" i="28" s="1"/>
  <c r="U192" i="28" s="1"/>
  <c r="E140" i="28"/>
  <c r="F140" i="28" s="1"/>
  <c r="G140" i="28" s="1"/>
  <c r="H140" i="28" s="1"/>
  <c r="I140" i="28" s="1"/>
  <c r="J140" i="28" s="1"/>
  <c r="K140" i="28" s="1"/>
  <c r="L140" i="28" s="1"/>
  <c r="M140" i="28" s="1"/>
  <c r="N140" i="28" s="1"/>
  <c r="O140" i="28" s="1"/>
  <c r="P140" i="28" s="1"/>
  <c r="Q140" i="28" s="1"/>
  <c r="R140" i="28" s="1"/>
  <c r="S140" i="28" s="1"/>
  <c r="T140" i="28" s="1"/>
  <c r="U140" i="28" s="1"/>
  <c r="E112" i="28"/>
  <c r="F112" i="28" s="1"/>
  <c r="G112" i="28" s="1"/>
  <c r="H112" i="28" s="1"/>
  <c r="I112" i="28" s="1"/>
  <c r="J112" i="28" s="1"/>
  <c r="K112" i="28" s="1"/>
  <c r="L112" i="28" s="1"/>
  <c r="M112" i="28" s="1"/>
  <c r="N112" i="28" s="1"/>
  <c r="O112" i="28" s="1"/>
  <c r="P112" i="28" s="1"/>
  <c r="Q112" i="28" s="1"/>
  <c r="R112" i="28" s="1"/>
  <c r="S112" i="28" s="1"/>
  <c r="T112" i="28" s="1"/>
  <c r="I75" i="14"/>
  <c r="G75" i="14"/>
  <c r="F57" i="14"/>
  <c r="G65" i="14" s="1"/>
  <c r="H75" i="14"/>
  <c r="M75" i="14"/>
  <c r="N75" i="14"/>
  <c r="Q75" i="14"/>
  <c r="F75" i="14"/>
  <c r="J75" i="14"/>
  <c r="R75" i="14"/>
  <c r="K75" i="14"/>
  <c r="O75" i="14"/>
  <c r="S75" i="14"/>
  <c r="L75" i="14"/>
  <c r="P75" i="14"/>
  <c r="T75" i="14"/>
  <c r="F25" i="14"/>
  <c r="G33" i="14" s="1"/>
  <c r="P102" i="29" l="1"/>
  <c r="S102" i="29"/>
  <c r="J102" i="29"/>
  <c r="H102" i="29"/>
  <c r="I102" i="29"/>
  <c r="L102" i="29"/>
  <c r="O102" i="29"/>
  <c r="N102" i="29"/>
  <c r="K102" i="29"/>
  <c r="F102" i="29"/>
  <c r="M102" i="29"/>
  <c r="G102" i="29"/>
  <c r="T102" i="29"/>
  <c r="R102" i="29"/>
  <c r="Q102" i="29"/>
  <c r="E44" i="14"/>
  <c r="P44" i="14"/>
  <c r="G57" i="14"/>
  <c r="H65" i="14" s="1"/>
  <c r="Q44" i="14"/>
  <c r="M44" i="14"/>
  <c r="K44" i="14"/>
  <c r="L44" i="14"/>
  <c r="S44" i="14"/>
  <c r="F44" i="14"/>
  <c r="O44" i="14"/>
  <c r="G44" i="14"/>
  <c r="H44" i="14"/>
  <c r="T44" i="14"/>
  <c r="I44" i="14"/>
  <c r="G25" i="14"/>
  <c r="H33" i="14" s="1"/>
  <c r="R44" i="14"/>
  <c r="N44" i="14"/>
  <c r="J44" i="14"/>
  <c r="D102" i="29" l="1"/>
  <c r="H105" i="14" s="1"/>
  <c r="R101" i="29"/>
  <c r="R152" i="29" s="1"/>
  <c r="R161" i="29"/>
  <c r="R129" i="29"/>
  <c r="R128" i="29" s="1"/>
  <c r="L129" i="29"/>
  <c r="L128" i="29" s="1"/>
  <c r="L161" i="29"/>
  <c r="L101" i="29"/>
  <c r="L152" i="29" s="1"/>
  <c r="H101" i="29"/>
  <c r="H152" i="29" s="1"/>
  <c r="H161" i="29"/>
  <c r="H129" i="29"/>
  <c r="H128" i="29" s="1"/>
  <c r="S129" i="29"/>
  <c r="S128" i="29" s="1"/>
  <c r="S161" i="29"/>
  <c r="S101" i="29"/>
  <c r="S152" i="29" s="1"/>
  <c r="T129" i="29"/>
  <c r="T128" i="29" s="1"/>
  <c r="T101" i="29"/>
  <c r="T152" i="29" s="1"/>
  <c r="T161" i="29"/>
  <c r="F101" i="29"/>
  <c r="F161" i="29"/>
  <c r="F129" i="29"/>
  <c r="F128" i="29" s="1"/>
  <c r="N161" i="29"/>
  <c r="N101" i="29"/>
  <c r="N152" i="29" s="1"/>
  <c r="N129" i="29"/>
  <c r="N128" i="29" s="1"/>
  <c r="Q101" i="29"/>
  <c r="Q152" i="29" s="1"/>
  <c r="Q161" i="29"/>
  <c r="Q129" i="29"/>
  <c r="Q128" i="29" s="1"/>
  <c r="M129" i="29"/>
  <c r="M128" i="29" s="1"/>
  <c r="M161" i="29"/>
  <c r="M101" i="29"/>
  <c r="M152" i="29" s="1"/>
  <c r="K101" i="29"/>
  <c r="K152" i="29" s="1"/>
  <c r="K129" i="29"/>
  <c r="K128" i="29" s="1"/>
  <c r="K161" i="29"/>
  <c r="O129" i="29"/>
  <c r="O128" i="29" s="1"/>
  <c r="O101" i="29"/>
  <c r="O152" i="29" s="1"/>
  <c r="O161" i="29"/>
  <c r="P129" i="29"/>
  <c r="P128" i="29" s="1"/>
  <c r="P161" i="29"/>
  <c r="P101" i="29"/>
  <c r="P152" i="29" s="1"/>
  <c r="G129" i="29"/>
  <c r="G128" i="29" s="1"/>
  <c r="G101" i="29"/>
  <c r="G152" i="29" s="1"/>
  <c r="G161" i="29"/>
  <c r="I129" i="29"/>
  <c r="I128" i="29" s="1"/>
  <c r="I161" i="29"/>
  <c r="I101" i="29"/>
  <c r="I152" i="29" s="1"/>
  <c r="J101" i="29"/>
  <c r="J152" i="29" s="1"/>
  <c r="J129" i="29"/>
  <c r="J128" i="29" s="1"/>
  <c r="J161" i="29"/>
  <c r="R102" i="28"/>
  <c r="R129" i="28" s="1"/>
  <c r="R128" i="28" s="1"/>
  <c r="S102" i="28"/>
  <c r="S129" i="28" s="1"/>
  <c r="S128" i="28" s="1"/>
  <c r="G102" i="28"/>
  <c r="G129" i="28" s="1"/>
  <c r="G128" i="28" s="1"/>
  <c r="N102" i="28"/>
  <c r="N101" i="28" s="1"/>
  <c r="N152" i="28" s="1"/>
  <c r="T102" i="28"/>
  <c r="T129" i="28" s="1"/>
  <c r="T128" i="28" s="1"/>
  <c r="F102" i="28"/>
  <c r="F129" i="28" s="1"/>
  <c r="F128" i="28" s="1"/>
  <c r="M102" i="28"/>
  <c r="M129" i="28" s="1"/>
  <c r="M128" i="28" s="1"/>
  <c r="H102" i="28"/>
  <c r="H129" i="28" s="1"/>
  <c r="H128" i="28" s="1"/>
  <c r="Q102" i="28"/>
  <c r="Q161" i="28" s="1"/>
  <c r="E102" i="28"/>
  <c r="L102" i="28"/>
  <c r="L129" i="28" s="1"/>
  <c r="L128" i="28" s="1"/>
  <c r="J102" i="28"/>
  <c r="J101" i="28" s="1"/>
  <c r="J152" i="28" s="1"/>
  <c r="I102" i="28"/>
  <c r="I129" i="28" s="1"/>
  <c r="I128" i="28" s="1"/>
  <c r="O102" i="28"/>
  <c r="O129" i="28" s="1"/>
  <c r="O128" i="28" s="1"/>
  <c r="K102" i="28"/>
  <c r="K101" i="28" s="1"/>
  <c r="K152" i="28" s="1"/>
  <c r="P102" i="28"/>
  <c r="P101" i="28" s="1"/>
  <c r="P152" i="28" s="1"/>
  <c r="H57" i="14"/>
  <c r="I65" i="14" s="1"/>
  <c r="H25" i="14"/>
  <c r="I33" i="14" s="1"/>
  <c r="M101" i="28" l="1"/>
  <c r="M152" i="28" s="1"/>
  <c r="F152" i="29"/>
  <c r="D101" i="29"/>
  <c r="I57" i="14"/>
  <c r="J65" i="14" s="1"/>
  <c r="L101" i="28"/>
  <c r="L152" i="28" s="1"/>
  <c r="T101" i="28"/>
  <c r="T152" i="28" s="1"/>
  <c r="K161" i="28"/>
  <c r="K129" i="28"/>
  <c r="K128" i="28" s="1"/>
  <c r="L161" i="28"/>
  <c r="I101" i="28"/>
  <c r="I152" i="28" s="1"/>
  <c r="I161" i="28"/>
  <c r="Q101" i="28"/>
  <c r="Q152" i="28" s="1"/>
  <c r="H161" i="28"/>
  <c r="F161" i="28"/>
  <c r="M161" i="28"/>
  <c r="G101" i="28"/>
  <c r="G152" i="28" s="1"/>
  <c r="R161" i="28"/>
  <c r="G161" i="28"/>
  <c r="R101" i="28"/>
  <c r="R152" i="28" s="1"/>
  <c r="T161" i="28"/>
  <c r="S101" i="28"/>
  <c r="S152" i="28" s="1"/>
  <c r="S161" i="28"/>
  <c r="Q129" i="28"/>
  <c r="Q128" i="28" s="1"/>
  <c r="F101" i="28"/>
  <c r="F152" i="28" s="1"/>
  <c r="N161" i="28"/>
  <c r="O101" i="28"/>
  <c r="O152" i="28" s="1"/>
  <c r="H101" i="28"/>
  <c r="H152" i="28" s="1"/>
  <c r="N129" i="28"/>
  <c r="N128" i="28" s="1"/>
  <c r="J161" i="28"/>
  <c r="E129" i="28"/>
  <c r="E128" i="28" s="1"/>
  <c r="E161" i="28"/>
  <c r="E101" i="28"/>
  <c r="E152" i="28" s="1"/>
  <c r="P161" i="28"/>
  <c r="J129" i="28"/>
  <c r="J128" i="28" s="1"/>
  <c r="P129" i="28"/>
  <c r="P128" i="28" s="1"/>
  <c r="O161" i="28"/>
  <c r="D102" i="28"/>
  <c r="D105" i="14" s="1"/>
  <c r="D103" i="14" s="1"/>
  <c r="I25" i="14"/>
  <c r="J33" i="14" s="1"/>
  <c r="J57" i="14" l="1"/>
  <c r="K65" i="14" s="1"/>
  <c r="D101" i="28"/>
  <c r="J25" i="14"/>
  <c r="K33" i="14" s="1"/>
  <c r="K57" i="14" l="1"/>
  <c r="L57" i="14" s="1"/>
  <c r="K25" i="14"/>
  <c r="L33" i="14" s="1"/>
  <c r="L65" i="14" l="1"/>
  <c r="M57" i="14"/>
  <c r="M65" i="14"/>
  <c r="L25" i="14"/>
  <c r="M33" i="14" s="1"/>
  <c r="N65" i="14" l="1"/>
  <c r="N57" i="14"/>
  <c r="M25" i="14"/>
  <c r="N33" i="14" s="1"/>
  <c r="O57" i="14" l="1"/>
  <c r="O65" i="14"/>
  <c r="N25" i="14"/>
  <c r="O33" i="14" s="1"/>
  <c r="P65" i="14" l="1"/>
  <c r="P57" i="14"/>
  <c r="O25" i="14"/>
  <c r="P33" i="14" s="1"/>
  <c r="Q57" i="14" l="1"/>
  <c r="Q65" i="14"/>
  <c r="P25" i="14"/>
  <c r="Q33" i="14" s="1"/>
  <c r="R65" i="14" l="1"/>
  <c r="R57" i="14"/>
  <c r="Q25" i="14"/>
  <c r="R33" i="14" s="1"/>
  <c r="S57" i="14" l="1"/>
  <c r="T65" i="14" s="1"/>
  <c r="S65" i="14"/>
  <c r="R25" i="14"/>
  <c r="S33" i="14" s="1"/>
  <c r="S25" i="14" l="1"/>
  <c r="T33" i="14" s="1"/>
  <c r="E9" i="17" l="1"/>
  <c r="E2" i="27"/>
  <c r="E124" i="28" l="1"/>
  <c r="E123" i="28" s="1"/>
  <c r="E124" i="29"/>
  <c r="E123" i="29" l="1"/>
  <c r="K47" i="17" l="1"/>
  <c r="G47" i="17"/>
  <c r="H47" i="17"/>
  <c r="F47" i="17"/>
  <c r="J47" i="17"/>
  <c r="I47" i="17"/>
  <c r="S48" i="28"/>
  <c r="T48" i="28"/>
  <c r="N48" i="29"/>
  <c r="O48" i="29"/>
  <c r="M48" i="29"/>
  <c r="R48" i="29"/>
  <c r="S48" i="29"/>
  <c r="T48" i="29"/>
  <c r="Q48" i="29"/>
  <c r="L48" i="28"/>
  <c r="R48" i="28"/>
  <c r="Q48" i="28"/>
  <c r="N48" i="28"/>
  <c r="O48" i="28"/>
  <c r="M48" i="28"/>
  <c r="L48" i="29"/>
  <c r="P48" i="28"/>
  <c r="P48" i="29"/>
  <c r="S21" i="17" l="1"/>
  <c r="K21" i="17"/>
  <c r="O21" i="17"/>
  <c r="J21" i="17"/>
  <c r="H21" i="17"/>
  <c r="Q21" i="17"/>
  <c r="N21" i="17"/>
  <c r="G21" i="17"/>
  <c r="F21" i="17"/>
  <c r="L21" i="17"/>
  <c r="M21" i="17"/>
  <c r="R21" i="17"/>
  <c r="I21" i="17"/>
  <c r="P21" i="17"/>
  <c r="T21" i="17"/>
  <c r="K47" i="28"/>
  <c r="F47" i="28"/>
  <c r="I47" i="28"/>
  <c r="G47" i="28"/>
  <c r="J48" i="29"/>
  <c r="F48" i="28"/>
  <c r="H48" i="29"/>
  <c r="F48" i="29"/>
  <c r="J48" i="28"/>
  <c r="G48" i="28"/>
  <c r="J47" i="28"/>
  <c r="I48" i="29"/>
  <c r="K48" i="29"/>
  <c r="G48" i="29"/>
  <c r="I48" i="28"/>
  <c r="K48" i="28"/>
  <c r="H48" i="28"/>
  <c r="H47" i="28"/>
  <c r="E47" i="28"/>
  <c r="Q21" i="29" l="1"/>
  <c r="N21" i="29"/>
  <c r="L21" i="29"/>
  <c r="P21" i="29"/>
  <c r="T21" i="29"/>
  <c r="I21" i="29"/>
  <c r="J21" i="29"/>
  <c r="R21" i="29"/>
  <c r="F21" i="29"/>
  <c r="G21" i="29"/>
  <c r="K21" i="29"/>
  <c r="O21" i="29"/>
  <c r="S21" i="29"/>
  <c r="M21" i="29"/>
  <c r="H21" i="29"/>
  <c r="G20" i="29"/>
  <c r="G17" i="29"/>
  <c r="G19" i="29"/>
  <c r="G18" i="29"/>
  <c r="K20" i="29"/>
  <c r="K17" i="29"/>
  <c r="K19" i="29"/>
  <c r="K18" i="29"/>
  <c r="O19" i="29"/>
  <c r="O18" i="29"/>
  <c r="O20" i="29"/>
  <c r="O17" i="29"/>
  <c r="S18" i="29"/>
  <c r="S20" i="29"/>
  <c r="S17" i="29"/>
  <c r="S19" i="29"/>
  <c r="M19" i="29"/>
  <c r="M18" i="29"/>
  <c r="M20" i="29"/>
  <c r="M17" i="29"/>
  <c r="R20" i="29"/>
  <c r="R19" i="29"/>
  <c r="R17" i="29"/>
  <c r="R18" i="29"/>
  <c r="Q18" i="29"/>
  <c r="Q19" i="29"/>
  <c r="Q17" i="29"/>
  <c r="Q20" i="29"/>
  <c r="N19" i="29"/>
  <c r="N17" i="29"/>
  <c r="N18" i="29"/>
  <c r="N20" i="29"/>
  <c r="H20" i="29"/>
  <c r="H17" i="29"/>
  <c r="H18" i="29"/>
  <c r="H19" i="29"/>
  <c r="L20" i="29"/>
  <c r="L17" i="29"/>
  <c r="L19" i="29"/>
  <c r="L18" i="29"/>
  <c r="F18" i="29"/>
  <c r="F20" i="29"/>
  <c r="F19" i="29"/>
  <c r="F17" i="29"/>
  <c r="P19" i="29"/>
  <c r="P18" i="29"/>
  <c r="P20" i="29"/>
  <c r="P17" i="29"/>
  <c r="T18" i="29"/>
  <c r="T20" i="29"/>
  <c r="T19" i="29"/>
  <c r="T17" i="29"/>
  <c r="I20" i="29"/>
  <c r="I17" i="29"/>
  <c r="I19" i="29"/>
  <c r="I18" i="29"/>
  <c r="J17" i="29"/>
  <c r="J18" i="29"/>
  <c r="J19" i="29"/>
  <c r="J20" i="29"/>
  <c r="F2" i="27"/>
  <c r="G2" i="27" s="1"/>
  <c r="H2" i="27" s="1"/>
  <c r="I2" i="27" s="1"/>
  <c r="J2" i="27" s="1"/>
  <c r="K2" i="27" s="1"/>
  <c r="L2" i="27" s="1"/>
  <c r="M2" i="27" s="1"/>
  <c r="N2" i="27" s="1"/>
  <c r="O2" i="27" s="1"/>
  <c r="P2" i="27" s="1"/>
  <c r="Q2" i="27" s="1"/>
  <c r="R2" i="27" s="1"/>
  <c r="S2" i="27" s="1"/>
  <c r="K4" i="27" l="1"/>
  <c r="O97" i="17"/>
  <c r="L97" i="17"/>
  <c r="P97" i="17"/>
  <c r="K97" i="17"/>
  <c r="M97" i="17"/>
  <c r="J97" i="17"/>
  <c r="T97" i="17"/>
  <c r="Q97" i="17"/>
  <c r="R97" i="17"/>
  <c r="I97" i="17"/>
  <c r="H97" i="17"/>
  <c r="S97" i="17"/>
  <c r="N97" i="17"/>
  <c r="P4" i="27" l="1"/>
  <c r="Q4" i="27"/>
  <c r="O4" i="27"/>
  <c r="I4" i="27"/>
  <c r="L4" i="27"/>
  <c r="J4" i="27"/>
  <c r="S4" i="27"/>
  <c r="M4" i="27"/>
  <c r="H4" i="27"/>
  <c r="N4" i="27"/>
  <c r="R4" i="27"/>
  <c r="H17" i="17"/>
  <c r="H19" i="17"/>
  <c r="H18" i="17"/>
  <c r="H20" i="17"/>
  <c r="I17" i="17"/>
  <c r="I20" i="17"/>
  <c r="I18" i="17"/>
  <c r="I19" i="17"/>
  <c r="G17" i="17"/>
  <c r="G18" i="17"/>
  <c r="G19" i="17"/>
  <c r="G20" i="17"/>
  <c r="K17" i="17"/>
  <c r="K20" i="17"/>
  <c r="K19" i="17"/>
  <c r="K18" i="17"/>
  <c r="J17" i="17"/>
  <c r="J20" i="17"/>
  <c r="J18" i="17"/>
  <c r="J19" i="17"/>
  <c r="G89" i="17"/>
  <c r="I89" i="17"/>
  <c r="K89" i="17"/>
  <c r="J89" i="17"/>
  <c r="H89" i="17"/>
  <c r="J45" i="17"/>
  <c r="F4" i="27" l="1"/>
  <c r="G4" i="27"/>
  <c r="E4" i="27"/>
  <c r="E21" i="29"/>
  <c r="E19" i="29"/>
  <c r="E20" i="29"/>
  <c r="E17" i="29"/>
  <c r="E18" i="29"/>
  <c r="F20" i="17"/>
  <c r="F17" i="17"/>
  <c r="F19" i="17"/>
  <c r="F89" i="17"/>
  <c r="F18" i="17"/>
  <c r="M47" i="17"/>
  <c r="R45" i="17"/>
  <c r="Q47" i="17"/>
  <c r="L45" i="17"/>
  <c r="S47" i="17"/>
  <c r="N45" i="17"/>
  <c r="P45" i="17"/>
  <c r="S45" i="17"/>
  <c r="T45" i="17"/>
  <c r="R47" i="17"/>
  <c r="O47" i="17"/>
  <c r="L47" i="17"/>
  <c r="T47" i="17"/>
  <c r="M45" i="17"/>
  <c r="P47" i="17"/>
  <c r="O47" i="28"/>
  <c r="O45" i="17"/>
  <c r="N47" i="17"/>
  <c r="G97" i="28"/>
  <c r="J17" i="28"/>
  <c r="N17" i="28"/>
  <c r="R17" i="28"/>
  <c r="K17" i="28"/>
  <c r="O17" i="28"/>
  <c r="S17" i="28"/>
  <c r="H17" i="28"/>
  <c r="L17" i="28"/>
  <c r="P17" i="28"/>
  <c r="T17" i="28"/>
  <c r="I17" i="28"/>
  <c r="M17" i="28"/>
  <c r="Q17" i="28"/>
  <c r="E17" i="28"/>
  <c r="E19" i="28"/>
  <c r="E89" i="28"/>
  <c r="E18" i="28"/>
  <c r="E20" i="28"/>
  <c r="F17" i="28"/>
  <c r="G17" i="28"/>
  <c r="I45" i="28"/>
  <c r="I21" i="28"/>
  <c r="I20" i="28"/>
  <c r="I89" i="28"/>
  <c r="I18" i="28"/>
  <c r="I19" i="28"/>
  <c r="K21" i="28"/>
  <c r="K19" i="28"/>
  <c r="K20" i="28"/>
  <c r="K89" i="28"/>
  <c r="K18" i="28"/>
  <c r="J18" i="28"/>
  <c r="J20" i="28"/>
  <c r="J19" i="28"/>
  <c r="J89" i="28"/>
  <c r="J21" i="28"/>
  <c r="K97" i="28"/>
  <c r="H21" i="28"/>
  <c r="H89" i="28"/>
  <c r="H19" i="28"/>
  <c r="H20" i="28"/>
  <c r="H18" i="28"/>
  <c r="H97" i="28"/>
  <c r="J97" i="28"/>
  <c r="G18" i="28"/>
  <c r="G19" i="28"/>
  <c r="G21" i="28"/>
  <c r="G20" i="28"/>
  <c r="G89" i="28"/>
  <c r="E46" i="28"/>
  <c r="E98" i="28"/>
  <c r="E46" i="17"/>
  <c r="K45" i="28"/>
  <c r="G45" i="28"/>
  <c r="H45" i="28"/>
  <c r="J45" i="28"/>
  <c r="H46" i="28"/>
  <c r="E45" i="28"/>
  <c r="E56" i="28" s="1"/>
  <c r="T46" i="17"/>
  <c r="F46" i="17"/>
  <c r="G45" i="17"/>
  <c r="P46" i="17"/>
  <c r="R46" i="17"/>
  <c r="K45" i="17"/>
  <c r="J46" i="17"/>
  <c r="S46" i="17"/>
  <c r="H45" i="17"/>
  <c r="H46" i="17"/>
  <c r="I46" i="17"/>
  <c r="I45" i="17"/>
  <c r="M46" i="17"/>
  <c r="O46" i="17"/>
  <c r="L46" i="17"/>
  <c r="K46" i="17"/>
  <c r="Q46" i="17"/>
  <c r="N46" i="17"/>
  <c r="G46" i="17"/>
  <c r="F45" i="17"/>
  <c r="E55" i="28" l="1"/>
  <c r="O97" i="28"/>
  <c r="O46" i="28"/>
  <c r="F20" i="28"/>
  <c r="F97" i="28"/>
  <c r="F89" i="28"/>
  <c r="F45" i="28"/>
  <c r="F21" i="28"/>
  <c r="F18" i="28"/>
  <c r="F19" i="28"/>
  <c r="P17" i="17"/>
  <c r="P20" i="17"/>
  <c r="P19" i="17"/>
  <c r="P89" i="17"/>
  <c r="P18" i="17"/>
  <c r="L47" i="28"/>
  <c r="T47" i="28"/>
  <c r="O17" i="17"/>
  <c r="O20" i="17"/>
  <c r="O18" i="17"/>
  <c r="O19" i="17"/>
  <c r="O89" i="17"/>
  <c r="N17" i="17"/>
  <c r="N19" i="17"/>
  <c r="N20" i="17"/>
  <c r="N18" i="17"/>
  <c r="N89" i="17"/>
  <c r="P47" i="28"/>
  <c r="R46" i="28"/>
  <c r="M47" i="28"/>
  <c r="S17" i="17"/>
  <c r="S20" i="17"/>
  <c r="S18" i="17"/>
  <c r="S19" i="17"/>
  <c r="S89" i="17"/>
  <c r="L20" i="17"/>
  <c r="L19" i="17"/>
  <c r="L18" i="17"/>
  <c r="L17" i="17"/>
  <c r="L89" i="17"/>
  <c r="R20" i="17"/>
  <c r="R18" i="17"/>
  <c r="R89" i="17"/>
  <c r="R17" i="17"/>
  <c r="R19" i="17"/>
  <c r="S47" i="28"/>
  <c r="L46" i="28"/>
  <c r="H89" i="29"/>
  <c r="N47" i="28"/>
  <c r="F45" i="29"/>
  <c r="R47" i="28"/>
  <c r="Q47" i="28"/>
  <c r="Q20" i="17"/>
  <c r="Q19" i="17"/>
  <c r="Q17" i="17"/>
  <c r="Q89" i="17"/>
  <c r="Q18" i="17"/>
  <c r="Q45" i="17"/>
  <c r="M17" i="17"/>
  <c r="M20" i="17"/>
  <c r="M89" i="17"/>
  <c r="M19" i="17"/>
  <c r="M18" i="17"/>
  <c r="T19" i="17"/>
  <c r="T17" i="17"/>
  <c r="T20" i="17"/>
  <c r="T18" i="17"/>
  <c r="T89" i="17"/>
  <c r="O20" i="28"/>
  <c r="O18" i="28"/>
  <c r="O19" i="28"/>
  <c r="O21" i="28"/>
  <c r="O89" i="28"/>
  <c r="O45" i="28"/>
  <c r="P46" i="28"/>
  <c r="T97" i="28"/>
  <c r="M46" i="28"/>
  <c r="G46" i="29"/>
  <c r="G89" i="29"/>
  <c r="E51" i="28"/>
  <c r="E52" i="28"/>
  <c r="E53" i="28"/>
  <c r="E54" i="28"/>
  <c r="E45" i="29"/>
  <c r="E56" i="29" s="1"/>
  <c r="E94" i="29"/>
  <c r="E89" i="29"/>
  <c r="E90" i="29" s="1"/>
  <c r="I97" i="28"/>
  <c r="I46" i="28"/>
  <c r="E90" i="28"/>
  <c r="E94" i="28"/>
  <c r="J46" i="28"/>
  <c r="G46" i="28"/>
  <c r="S46" i="28"/>
  <c r="K46" i="28"/>
  <c r="F46" i="28"/>
  <c r="E16" i="28"/>
  <c r="E15" i="28" s="1"/>
  <c r="K16" i="28"/>
  <c r="K15" i="28" s="1"/>
  <c r="G16" i="28"/>
  <c r="G15" i="28" s="1"/>
  <c r="H16" i="28"/>
  <c r="H15" i="28" s="1"/>
  <c r="J16" i="28"/>
  <c r="J15" i="28" s="1"/>
  <c r="I16" i="28"/>
  <c r="I15" i="28" s="1"/>
  <c r="E86" i="29" l="1"/>
  <c r="E86" i="28"/>
  <c r="E55" i="29"/>
  <c r="T46" i="28"/>
  <c r="R97" i="28"/>
  <c r="Q46" i="28"/>
  <c r="Q97" i="28"/>
  <c r="N46" i="28"/>
  <c r="N97" i="28"/>
  <c r="P97" i="28"/>
  <c r="L97" i="28"/>
  <c r="S97" i="28"/>
  <c r="M97" i="28"/>
  <c r="I46" i="29"/>
  <c r="H46" i="29"/>
  <c r="F46" i="29"/>
  <c r="K46" i="29"/>
  <c r="J89" i="29"/>
  <c r="K45" i="29"/>
  <c r="J46" i="29"/>
  <c r="K89" i="29"/>
  <c r="G45" i="29"/>
  <c r="H45" i="29"/>
  <c r="J45" i="29"/>
  <c r="I89" i="29"/>
  <c r="I45" i="29"/>
  <c r="F89" i="29"/>
  <c r="O16" i="28"/>
  <c r="O15" i="28" s="1"/>
  <c r="F16" i="28"/>
  <c r="F15" i="28" s="1"/>
  <c r="Q20" i="28"/>
  <c r="Q18" i="28"/>
  <c r="Q21" i="28"/>
  <c r="Q45" i="28"/>
  <c r="Q89" i="28"/>
  <c r="Q19" i="28"/>
  <c r="N89" i="28"/>
  <c r="N45" i="28"/>
  <c r="N20" i="28"/>
  <c r="N21" i="28"/>
  <c r="N18" i="28"/>
  <c r="N19" i="28"/>
  <c r="P18" i="28"/>
  <c r="P21" i="28"/>
  <c r="P20" i="28"/>
  <c r="P45" i="28"/>
  <c r="P19" i="28"/>
  <c r="P89" i="28"/>
  <c r="L21" i="28"/>
  <c r="L20" i="28"/>
  <c r="L45" i="28"/>
  <c r="L19" i="28"/>
  <c r="L18" i="28"/>
  <c r="L89" i="28"/>
  <c r="R20" i="28"/>
  <c r="R89" i="28"/>
  <c r="R45" i="28"/>
  <c r="R18" i="28"/>
  <c r="R21" i="28"/>
  <c r="R19" i="28"/>
  <c r="S89" i="28"/>
  <c r="S19" i="28"/>
  <c r="S45" i="28"/>
  <c r="S20" i="28"/>
  <c r="S18" i="28"/>
  <c r="S21" i="28"/>
  <c r="M19" i="28"/>
  <c r="M89" i="28"/>
  <c r="M20" i="28"/>
  <c r="M45" i="28"/>
  <c r="M21" i="28"/>
  <c r="M18" i="28"/>
  <c r="T45" i="28"/>
  <c r="T21" i="28"/>
  <c r="T20" i="28"/>
  <c r="T18" i="28"/>
  <c r="T89" i="28"/>
  <c r="T19" i="28"/>
  <c r="R16" i="29"/>
  <c r="R15" i="29" s="1"/>
  <c r="F16" i="29"/>
  <c r="F15" i="29" s="1"/>
  <c r="T16" i="29"/>
  <c r="T15" i="29" s="1"/>
  <c r="O16" i="29"/>
  <c r="O15" i="29" s="1"/>
  <c r="M16" i="29"/>
  <c r="M15" i="29" s="1"/>
  <c r="P16" i="29"/>
  <c r="P15" i="29" s="1"/>
  <c r="N16" i="29"/>
  <c r="N15" i="29" s="1"/>
  <c r="K16" i="29"/>
  <c r="K15" i="29" s="1"/>
  <c r="F187" i="28"/>
  <c r="F187" i="29"/>
  <c r="E16" i="29"/>
  <c r="E15" i="29" s="1"/>
  <c r="Q16" i="29"/>
  <c r="Q15" i="29" s="1"/>
  <c r="J16" i="29"/>
  <c r="J15" i="29" s="1"/>
  <c r="I16" i="29"/>
  <c r="I15" i="29" s="1"/>
  <c r="G16" i="29"/>
  <c r="G15" i="29" s="1"/>
  <c r="H16" i="29"/>
  <c r="H15" i="29" s="1"/>
  <c r="L16" i="29"/>
  <c r="L15" i="29" s="1"/>
  <c r="E52" i="29"/>
  <c r="E54" i="29"/>
  <c r="E53" i="29"/>
  <c r="E51" i="29"/>
  <c r="S16" i="29"/>
  <c r="S15" i="29" s="1"/>
  <c r="E50" i="28"/>
  <c r="N16" i="28" l="1"/>
  <c r="N15" i="28" s="1"/>
  <c r="T16" i="28"/>
  <c r="T15" i="28" s="1"/>
  <c r="Q45" i="29"/>
  <c r="Q89" i="29"/>
  <c r="R89" i="29"/>
  <c r="R45" i="29"/>
  <c r="Q16" i="28"/>
  <c r="Q15" i="28" s="1"/>
  <c r="P16" i="28"/>
  <c r="P15" i="28" s="1"/>
  <c r="L16" i="28"/>
  <c r="L15" i="28" s="1"/>
  <c r="T46" i="29"/>
  <c r="M16" i="28"/>
  <c r="M15" i="28" s="1"/>
  <c r="S16" i="28"/>
  <c r="S15" i="28" s="1"/>
  <c r="Q46" i="29"/>
  <c r="R16" i="28"/>
  <c r="R15" i="28" s="1"/>
  <c r="O45" i="29"/>
  <c r="O89" i="29"/>
  <c r="R46" i="29"/>
  <c r="T45" i="29"/>
  <c r="E50" i="29"/>
  <c r="O46" i="29" l="1"/>
  <c r="T89" i="29"/>
  <c r="P46" i="29"/>
  <c r="M45" i="29"/>
  <c r="M89" i="29"/>
  <c r="N45" i="29"/>
  <c r="N89" i="29"/>
  <c r="P45" i="29"/>
  <c r="P89" i="29"/>
  <c r="S45" i="29"/>
  <c r="S89" i="29"/>
  <c r="L45" i="29"/>
  <c r="L89" i="29"/>
  <c r="S46" i="29"/>
  <c r="L46" i="29"/>
  <c r="M46" i="29"/>
  <c r="N46" i="29"/>
  <c r="Q107" i="17"/>
  <c r="Q106" i="29" s="1"/>
  <c r="P107" i="17"/>
  <c r="P106" i="29" s="1"/>
  <c r="S107" i="17"/>
  <c r="S106" i="29" s="1"/>
  <c r="O107" i="17"/>
  <c r="O106" i="29" s="1"/>
  <c r="N107" i="17"/>
  <c r="N106" i="29" s="1"/>
  <c r="T107" i="17"/>
  <c r="T106" i="29" s="1"/>
  <c r="M107" i="17"/>
  <c r="M106" i="29" s="1"/>
  <c r="R107" i="17"/>
  <c r="R106" i="29" s="1"/>
  <c r="P104" i="29" l="1"/>
  <c r="M104" i="29"/>
  <c r="S104" i="29"/>
  <c r="S154" i="29" s="1"/>
  <c r="S163" i="29" s="1"/>
  <c r="N104" i="29"/>
  <c r="N131" i="29" s="1"/>
  <c r="Q104" i="29"/>
  <c r="Q131" i="29" s="1"/>
  <c r="R104" i="29"/>
  <c r="R131" i="29" s="1"/>
  <c r="O104" i="29"/>
  <c r="N104" i="17"/>
  <c r="Q104" i="17"/>
  <c r="O104" i="17"/>
  <c r="T104" i="17"/>
  <c r="P104" i="17"/>
  <c r="R104" i="17"/>
  <c r="S104" i="17"/>
  <c r="S106" i="28"/>
  <c r="S104" i="28" s="1"/>
  <c r="S131" i="28" s="1"/>
  <c r="T104" i="29"/>
  <c r="T154" i="29" s="1"/>
  <c r="T163" i="29" s="1"/>
  <c r="O106" i="28"/>
  <c r="O104" i="28" s="1"/>
  <c r="O154" i="28" s="1"/>
  <c r="O163" i="28" s="1"/>
  <c r="M106" i="28"/>
  <c r="M104" i="28" s="1"/>
  <c r="Q106" i="28"/>
  <c r="Q104" i="28" s="1"/>
  <c r="Q131" i="28" s="1"/>
  <c r="N106" i="28"/>
  <c r="N104" i="28" s="1"/>
  <c r="N131" i="28" s="1"/>
  <c r="R106" i="28"/>
  <c r="R104" i="28" s="1"/>
  <c r="R131" i="28" s="1"/>
  <c r="T106" i="28"/>
  <c r="T104" i="28" s="1"/>
  <c r="P106" i="28"/>
  <c r="P104" i="28" s="1"/>
  <c r="M104" i="17"/>
  <c r="D107" i="17"/>
  <c r="Q154" i="29" l="1"/>
  <c r="Q163" i="29" s="1"/>
  <c r="R154" i="29"/>
  <c r="R163" i="29" s="1"/>
  <c r="S154" i="28"/>
  <c r="S163" i="28" s="1"/>
  <c r="N154" i="29"/>
  <c r="N163" i="29" s="1"/>
  <c r="S131" i="29"/>
  <c r="T131" i="29"/>
  <c r="O131" i="29"/>
  <c r="O154" i="29"/>
  <c r="O163" i="29" s="1"/>
  <c r="D106" i="29"/>
  <c r="D104" i="29"/>
  <c r="M154" i="29"/>
  <c r="M163" i="29" s="1"/>
  <c r="M131" i="29"/>
  <c r="P131" i="29"/>
  <c r="P154" i="29"/>
  <c r="P163" i="29" s="1"/>
  <c r="O131" i="28"/>
  <c r="N154" i="28"/>
  <c r="N163" i="28" s="1"/>
  <c r="Q154" i="28"/>
  <c r="Q163" i="28" s="1"/>
  <c r="R154" i="28"/>
  <c r="R163" i="28" s="1"/>
  <c r="D106" i="28"/>
  <c r="T154" i="28"/>
  <c r="T163" i="28" s="1"/>
  <c r="T131" i="28"/>
  <c r="P154" i="28"/>
  <c r="P163" i="28" s="1"/>
  <c r="P131" i="28"/>
  <c r="M131" i="28"/>
  <c r="M154" i="28"/>
  <c r="M163" i="28" s="1"/>
  <c r="D104" i="28"/>
  <c r="C87" i="14"/>
  <c r="F2" i="17" l="1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Q2" i="17" s="1"/>
  <c r="R2" i="17" s="1"/>
  <c r="S2" i="17" s="1"/>
  <c r="T2" i="17" s="1"/>
  <c r="C75" i="14" l="1"/>
  <c r="D103" i="17" l="1"/>
  <c r="F41" i="14"/>
  <c r="D142" i="29" l="1"/>
  <c r="D114" i="29"/>
  <c r="D142" i="28"/>
  <c r="D114" i="28"/>
  <c r="U115" i="17"/>
  <c r="G41" i="14"/>
  <c r="E101" i="17" l="1"/>
  <c r="H41" i="14"/>
  <c r="F101" i="17"/>
  <c r="I41" i="14" l="1"/>
  <c r="G101" i="17"/>
  <c r="H103" i="14" l="1"/>
  <c r="J41" i="14"/>
  <c r="H101" i="17"/>
  <c r="K41" i="14" l="1"/>
  <c r="I101" i="17"/>
  <c r="E5" i="17"/>
  <c r="F114" i="17" s="1"/>
  <c r="F117" i="17" s="1"/>
  <c r="F120" i="17" s="1"/>
  <c r="F123" i="17" s="1"/>
  <c r="D212" i="1"/>
  <c r="E212" i="1" s="1"/>
  <c r="T44" i="17"/>
  <c r="F115" i="17" l="1"/>
  <c r="R115" i="17"/>
  <c r="N115" i="17"/>
  <c r="J115" i="17"/>
  <c r="F118" i="17"/>
  <c r="F121" i="17"/>
  <c r="Q115" i="17"/>
  <c r="M115" i="17"/>
  <c r="I115" i="17"/>
  <c r="T115" i="17"/>
  <c r="P115" i="17"/>
  <c r="L115" i="17"/>
  <c r="H115" i="17"/>
  <c r="F124" i="17"/>
  <c r="S115" i="17"/>
  <c r="O115" i="17"/>
  <c r="K115" i="17"/>
  <c r="G115" i="17"/>
  <c r="L41" i="14"/>
  <c r="Q44" i="17"/>
  <c r="M44" i="17"/>
  <c r="I44" i="17"/>
  <c r="P44" i="17"/>
  <c r="L44" i="17"/>
  <c r="H44" i="17"/>
  <c r="S44" i="17"/>
  <c r="O44" i="17"/>
  <c r="K44" i="17"/>
  <c r="G44" i="17"/>
  <c r="E44" i="17"/>
  <c r="R44" i="17"/>
  <c r="N44" i="17"/>
  <c r="J44" i="17"/>
  <c r="F44" i="17"/>
  <c r="E216" i="1"/>
  <c r="F212" i="1"/>
  <c r="J101" i="17" l="1"/>
  <c r="M41" i="14"/>
  <c r="K101" i="17"/>
  <c r="F216" i="1"/>
  <c r="G212" i="1"/>
  <c r="N41" i="14" l="1"/>
  <c r="L101" i="17"/>
  <c r="N101" i="17"/>
  <c r="G216" i="1"/>
  <c r="H212" i="1"/>
  <c r="O41" i="14" l="1"/>
  <c r="O101" i="17"/>
  <c r="I212" i="1"/>
  <c r="H216" i="1"/>
  <c r="M101" i="17" l="1"/>
  <c r="P41" i="14"/>
  <c r="P101" i="17"/>
  <c r="J212" i="1"/>
  <c r="I216" i="1"/>
  <c r="Q41" i="14" l="1"/>
  <c r="Q101" i="17"/>
  <c r="K212" i="1"/>
  <c r="J216" i="1"/>
  <c r="R41" i="14" l="1"/>
  <c r="R101" i="17"/>
  <c r="L212" i="1"/>
  <c r="K216" i="1"/>
  <c r="S41" i="14" l="1"/>
  <c r="S101" i="17"/>
  <c r="M212" i="1"/>
  <c r="L216" i="1"/>
  <c r="T101" i="17" l="1"/>
  <c r="D102" i="17"/>
  <c r="T41" i="14"/>
  <c r="N212" i="1"/>
  <c r="M216" i="1"/>
  <c r="O212" i="1" l="1"/>
  <c r="N216" i="1"/>
  <c r="P212" i="1" l="1"/>
  <c r="O216" i="1"/>
  <c r="Q212" i="1" l="1"/>
  <c r="P216" i="1"/>
  <c r="R212" i="1" l="1"/>
  <c r="Q216" i="1"/>
  <c r="S212" i="1" l="1"/>
  <c r="R216" i="1"/>
  <c r="S216" i="1" l="1"/>
  <c r="E14" i="1" l="1"/>
  <c r="F96" i="29" l="1"/>
  <c r="F98" i="29" s="1"/>
  <c r="F88" i="29"/>
  <c r="F88" i="28"/>
  <c r="F96" i="28"/>
  <c r="F98" i="28" s="1"/>
  <c r="F90" i="29" l="1"/>
  <c r="F92" i="29"/>
  <c r="F92" i="28"/>
  <c r="F90" i="28"/>
  <c r="E106" i="1"/>
  <c r="E107" i="1" s="1"/>
  <c r="H85" i="29" l="1"/>
  <c r="F85" i="29"/>
  <c r="G85" i="29"/>
  <c r="N67" i="29"/>
  <c r="K76" i="29"/>
  <c r="M85" i="29"/>
  <c r="I67" i="29"/>
  <c r="Q76" i="29"/>
  <c r="G76" i="29"/>
  <c r="T76" i="29"/>
  <c r="E67" i="29"/>
  <c r="P76" i="29"/>
  <c r="R67" i="29"/>
  <c r="S85" i="29"/>
  <c r="E85" i="29"/>
  <c r="G67" i="29"/>
  <c r="N76" i="29"/>
  <c r="O85" i="29"/>
  <c r="L85" i="29"/>
  <c r="J76" i="29"/>
  <c r="T67" i="29"/>
  <c r="R85" i="29"/>
  <c r="S76" i="29"/>
  <c r="E76" i="29"/>
  <c r="F67" i="29"/>
  <c r="M76" i="29"/>
  <c r="R76" i="29"/>
  <c r="O76" i="29"/>
  <c r="I76" i="29"/>
  <c r="K85" i="29"/>
  <c r="S67" i="29"/>
  <c r="L76" i="29"/>
  <c r="F76" i="29"/>
  <c r="K67" i="29"/>
  <c r="O67" i="29"/>
  <c r="P67" i="29"/>
  <c r="I85" i="29"/>
  <c r="J85" i="29"/>
  <c r="L67" i="29"/>
  <c r="Q67" i="29"/>
  <c r="P85" i="29"/>
  <c r="T85" i="29"/>
  <c r="J67" i="29"/>
  <c r="H76" i="29"/>
  <c r="Q85" i="29"/>
  <c r="H67" i="29"/>
  <c r="N85" i="29"/>
  <c r="M67" i="29"/>
  <c r="E57" i="29"/>
  <c r="H67" i="28"/>
  <c r="E67" i="17"/>
  <c r="E85" i="17"/>
  <c r="E76" i="17"/>
  <c r="F67" i="17"/>
  <c r="F85" i="17"/>
  <c r="F76" i="17"/>
  <c r="G85" i="17"/>
  <c r="G76" i="17"/>
  <c r="G67" i="17"/>
  <c r="E85" i="28"/>
  <c r="H76" i="17"/>
  <c r="E67" i="28"/>
  <c r="E76" i="28"/>
  <c r="H67" i="17"/>
  <c r="H85" i="17"/>
  <c r="M67" i="17"/>
  <c r="M85" i="17"/>
  <c r="M76" i="17"/>
  <c r="N76" i="17"/>
  <c r="N67" i="17"/>
  <c r="O76" i="17"/>
  <c r="O67" i="17"/>
  <c r="P67" i="17"/>
  <c r="P76" i="17"/>
  <c r="Q76" i="17"/>
  <c r="Q67" i="17"/>
  <c r="R67" i="17"/>
  <c r="R85" i="17"/>
  <c r="R76" i="17"/>
  <c r="T76" i="17"/>
  <c r="S76" i="17"/>
  <c r="T67" i="17"/>
  <c r="S67" i="17"/>
  <c r="G85" i="28"/>
  <c r="H85" i="28"/>
  <c r="G76" i="28"/>
  <c r="G67" i="28"/>
  <c r="H76" i="28"/>
  <c r="O67" i="28"/>
  <c r="O76" i="28"/>
  <c r="F76" i="28"/>
  <c r="F67" i="28"/>
  <c r="F85" i="28"/>
  <c r="R85" i="28"/>
  <c r="Q76" i="28"/>
  <c r="P67" i="28"/>
  <c r="S67" i="28"/>
  <c r="M76" i="28"/>
  <c r="T67" i="28"/>
  <c r="N67" i="28"/>
  <c r="R76" i="28"/>
  <c r="M67" i="28"/>
  <c r="T76" i="28"/>
  <c r="R67" i="28"/>
  <c r="S76" i="28"/>
  <c r="Q67" i="28"/>
  <c r="N76" i="28"/>
  <c r="P76" i="28"/>
  <c r="M85" i="28"/>
  <c r="F94" i="29"/>
  <c r="F86" i="29" s="1"/>
  <c r="F94" i="28"/>
  <c r="F86" i="28" s="1"/>
  <c r="F46" i="1" l="1"/>
  <c r="J67" i="1" l="1"/>
  <c r="I76" i="1"/>
  <c r="I67" i="1"/>
  <c r="H76" i="1"/>
  <c r="H67" i="1"/>
  <c r="J76" i="1"/>
  <c r="F74" i="1"/>
  <c r="E72" i="1"/>
  <c r="G72" i="1"/>
  <c r="H68" i="1"/>
  <c r="F75" i="1"/>
  <c r="F73" i="1"/>
  <c r="G76" i="1"/>
  <c r="G73" i="1"/>
  <c r="F76" i="1"/>
  <c r="E71" i="1"/>
  <c r="F72" i="1"/>
  <c r="G75" i="1"/>
  <c r="E73" i="1"/>
  <c r="E74" i="1"/>
  <c r="E75" i="1"/>
  <c r="G74" i="1"/>
  <c r="G71" i="1"/>
  <c r="E76" i="1"/>
  <c r="F71" i="1"/>
  <c r="J68" i="1"/>
  <c r="I68" i="1"/>
  <c r="E63" i="1"/>
  <c r="E64" i="1"/>
  <c r="G63" i="1"/>
  <c r="F63" i="1"/>
  <c r="G66" i="1"/>
  <c r="E68" i="1"/>
  <c r="E65" i="1"/>
  <c r="F66" i="1"/>
  <c r="E66" i="1"/>
  <c r="G68" i="1"/>
  <c r="F68" i="1"/>
  <c r="G64" i="1"/>
  <c r="F67" i="1"/>
  <c r="E67" i="1"/>
  <c r="G65" i="1"/>
  <c r="F65" i="1"/>
  <c r="F64" i="1"/>
  <c r="G67" i="1"/>
  <c r="N75" i="28" l="1"/>
  <c r="I75" i="28"/>
  <c r="H75" i="28"/>
  <c r="G75" i="28"/>
  <c r="L75" i="29"/>
  <c r="M75" i="29"/>
  <c r="O75" i="29"/>
  <c r="Q75" i="29"/>
  <c r="F75" i="28"/>
  <c r="P75" i="29"/>
  <c r="R75" i="28"/>
  <c r="Q75" i="28"/>
  <c r="K75" i="29"/>
  <c r="S75" i="29"/>
  <c r="H75" i="29"/>
  <c r="R75" i="29"/>
  <c r="K75" i="28"/>
  <c r="S75" i="28"/>
  <c r="J75" i="29"/>
  <c r="J75" i="28"/>
  <c r="F75" i="29"/>
  <c r="O75" i="28"/>
  <c r="N75" i="29"/>
  <c r="M75" i="28"/>
  <c r="P75" i="28"/>
  <c r="T75" i="29"/>
  <c r="T75" i="28"/>
  <c r="G75" i="29"/>
  <c r="L75" i="28"/>
  <c r="E75" i="28"/>
  <c r="I75" i="29"/>
  <c r="F75" i="17"/>
  <c r="O75" i="17"/>
  <c r="Q75" i="17"/>
  <c r="N75" i="17"/>
  <c r="G75" i="17"/>
  <c r="P75" i="17"/>
  <c r="R75" i="17"/>
  <c r="L75" i="17"/>
  <c r="I75" i="17"/>
  <c r="H75" i="17"/>
  <c r="M75" i="17"/>
  <c r="S75" i="17"/>
  <c r="J75" i="17"/>
  <c r="T75" i="17"/>
  <c r="K75" i="17"/>
  <c r="E75" i="29"/>
  <c r="E75" i="17"/>
  <c r="O84" i="28"/>
  <c r="Q84" i="29"/>
  <c r="T84" i="28"/>
  <c r="S84" i="28"/>
  <c r="P84" i="28"/>
  <c r="H84" i="29"/>
  <c r="P84" i="29"/>
  <c r="G84" i="29"/>
  <c r="J84" i="29"/>
  <c r="N84" i="28"/>
  <c r="M84" i="28"/>
  <c r="F84" i="29"/>
  <c r="M84" i="29"/>
  <c r="J84" i="28"/>
  <c r="F84" i="28"/>
  <c r="L84" i="29"/>
  <c r="R84" i="28"/>
  <c r="I84" i="28"/>
  <c r="E84" i="28"/>
  <c r="K84" i="28"/>
  <c r="I84" i="29"/>
  <c r="G84" i="28"/>
  <c r="O84" i="29"/>
  <c r="T84" i="29"/>
  <c r="H84" i="28"/>
  <c r="L84" i="28"/>
  <c r="K84" i="29"/>
  <c r="R84" i="29"/>
  <c r="S84" i="29"/>
  <c r="N84" i="29"/>
  <c r="Q84" i="28"/>
  <c r="P84" i="17"/>
  <c r="J84" i="17"/>
  <c r="L84" i="17"/>
  <c r="K84" i="17"/>
  <c r="F84" i="17"/>
  <c r="Q84" i="17"/>
  <c r="S84" i="17"/>
  <c r="H84" i="17"/>
  <c r="N84" i="17"/>
  <c r="I84" i="17"/>
  <c r="R84" i="17"/>
  <c r="M84" i="17"/>
  <c r="G84" i="17"/>
  <c r="T84" i="17"/>
  <c r="O84" i="17"/>
  <c r="E84" i="29"/>
  <c r="E84" i="17"/>
  <c r="J66" i="28"/>
  <c r="H66" i="29"/>
  <c r="F66" i="28"/>
  <c r="R66" i="28"/>
  <c r="G66" i="29"/>
  <c r="T66" i="28"/>
  <c r="K66" i="28"/>
  <c r="G66" i="28"/>
  <c r="S66" i="28"/>
  <c r="Q66" i="28"/>
  <c r="Q66" i="29"/>
  <c r="N66" i="28"/>
  <c r="H66" i="28"/>
  <c r="T66" i="29"/>
  <c r="P66" i="29"/>
  <c r="I66" i="29"/>
  <c r="L66" i="28"/>
  <c r="M66" i="29"/>
  <c r="O66" i="29"/>
  <c r="M66" i="28"/>
  <c r="O66" i="28"/>
  <c r="P66" i="28"/>
  <c r="J66" i="29"/>
  <c r="K66" i="29"/>
  <c r="E66" i="28"/>
  <c r="R66" i="29"/>
  <c r="L66" i="29"/>
  <c r="F66" i="29"/>
  <c r="S66" i="29"/>
  <c r="N66" i="29"/>
  <c r="I66" i="28"/>
  <c r="T66" i="17"/>
  <c r="I66" i="17"/>
  <c r="K66" i="17"/>
  <c r="F66" i="17"/>
  <c r="Q66" i="17"/>
  <c r="O66" i="17"/>
  <c r="M66" i="17"/>
  <c r="P66" i="17"/>
  <c r="L66" i="17"/>
  <c r="S66" i="17"/>
  <c r="H66" i="17"/>
  <c r="N66" i="17"/>
  <c r="G66" i="17"/>
  <c r="R66" i="17"/>
  <c r="J66" i="17"/>
  <c r="E66" i="29"/>
  <c r="E66" i="17"/>
  <c r="E65" i="28"/>
  <c r="K65" i="17"/>
  <c r="O65" i="17"/>
  <c r="F65" i="28"/>
  <c r="F65" i="17"/>
  <c r="T65" i="28"/>
  <c r="M65" i="17"/>
  <c r="T65" i="17"/>
  <c r="P65" i="28"/>
  <c r="S65" i="17"/>
  <c r="J65" i="17"/>
  <c r="J65" i="28"/>
  <c r="R65" i="28"/>
  <c r="S65" i="28"/>
  <c r="Q65" i="17"/>
  <c r="R65" i="17"/>
  <c r="I65" i="17"/>
  <c r="K65" i="28"/>
  <c r="I65" i="28"/>
  <c r="M65" i="28"/>
  <c r="O65" i="28"/>
  <c r="N65" i="17"/>
  <c r="G65" i="17"/>
  <c r="L65" i="17"/>
  <c r="H65" i="28"/>
  <c r="L65" i="28"/>
  <c r="H65" i="17"/>
  <c r="P65" i="17"/>
  <c r="Q65" i="28"/>
  <c r="N65" i="28"/>
  <c r="G65" i="28"/>
  <c r="N65" i="29"/>
  <c r="L65" i="29"/>
  <c r="T65" i="29"/>
  <c r="J65" i="29"/>
  <c r="R65" i="29"/>
  <c r="S65" i="29"/>
  <c r="P65" i="29"/>
  <c r="F65" i="29"/>
  <c r="M65" i="29"/>
  <c r="G65" i="29"/>
  <c r="O65" i="29"/>
  <c r="Q65" i="29"/>
  <c r="I65" i="29"/>
  <c r="K65" i="29"/>
  <c r="H65" i="29"/>
  <c r="E65" i="29"/>
  <c r="E74" i="28"/>
  <c r="F74" i="28"/>
  <c r="J74" i="17"/>
  <c r="R74" i="28"/>
  <c r="N74" i="17"/>
  <c r="G74" i="17"/>
  <c r="M74" i="17"/>
  <c r="R74" i="17"/>
  <c r="P74" i="28"/>
  <c r="S74" i="17"/>
  <c r="O74" i="17"/>
  <c r="N74" i="28"/>
  <c r="J74" i="28"/>
  <c r="M74" i="28"/>
  <c r="H74" i="17"/>
  <c r="H74" i="28"/>
  <c r="T74" i="17"/>
  <c r="G74" i="28"/>
  <c r="O74" i="28"/>
  <c r="Q74" i="17"/>
  <c r="F74" i="17"/>
  <c r="L74" i="28"/>
  <c r="T74" i="28"/>
  <c r="I74" i="17"/>
  <c r="K74" i="28"/>
  <c r="I74" i="28"/>
  <c r="K74" i="17"/>
  <c r="S74" i="28"/>
  <c r="L74" i="17"/>
  <c r="P74" i="17"/>
  <c r="Q74" i="28"/>
  <c r="Q74" i="29"/>
  <c r="P74" i="29"/>
  <c r="I74" i="29"/>
  <c r="K74" i="29"/>
  <c r="H74" i="29"/>
  <c r="L74" i="29"/>
  <c r="T74" i="29"/>
  <c r="O74" i="29"/>
  <c r="N74" i="29"/>
  <c r="S74" i="29"/>
  <c r="J74" i="29"/>
  <c r="R74" i="29"/>
  <c r="F74" i="29"/>
  <c r="G74" i="29"/>
  <c r="M74" i="29"/>
  <c r="E74" i="29"/>
  <c r="E83" i="28"/>
  <c r="S83" i="17"/>
  <c r="N83" i="28"/>
  <c r="S83" i="28"/>
  <c r="M83" i="28"/>
  <c r="L83" i="28"/>
  <c r="I83" i="17"/>
  <c r="P83" i="28"/>
  <c r="K83" i="17"/>
  <c r="F83" i="28"/>
  <c r="J83" i="28"/>
  <c r="O83" i="28"/>
  <c r="N83" i="17"/>
  <c r="G83" i="17"/>
  <c r="H83" i="17"/>
  <c r="M83" i="17"/>
  <c r="G83" i="28"/>
  <c r="J83" i="17"/>
  <c r="R83" i="28"/>
  <c r="Q83" i="17"/>
  <c r="F83" i="17"/>
  <c r="L83" i="17"/>
  <c r="R83" i="17"/>
  <c r="P83" i="17"/>
  <c r="Q83" i="28"/>
  <c r="I83" i="28"/>
  <c r="O83" i="17"/>
  <c r="H83" i="28"/>
  <c r="T83" i="28"/>
  <c r="T83" i="17"/>
  <c r="K83" i="28"/>
  <c r="T83" i="29"/>
  <c r="I83" i="29"/>
  <c r="K83" i="29"/>
  <c r="O83" i="29"/>
  <c r="M83" i="29"/>
  <c r="J83" i="29"/>
  <c r="S83" i="29"/>
  <c r="N83" i="29"/>
  <c r="L83" i="29"/>
  <c r="P83" i="29"/>
  <c r="R83" i="29"/>
  <c r="F83" i="29"/>
  <c r="H83" i="29"/>
  <c r="Q83" i="29"/>
  <c r="G83" i="29"/>
  <c r="E83" i="29"/>
  <c r="O62" i="28"/>
  <c r="I62" i="17"/>
  <c r="P62" i="17"/>
  <c r="L62" i="17"/>
  <c r="O62" i="17"/>
  <c r="M62" i="17"/>
  <c r="T62" i="17"/>
  <c r="G62" i="17"/>
  <c r="R62" i="17"/>
  <c r="H62" i="17"/>
  <c r="N62" i="17"/>
  <c r="J62" i="17"/>
  <c r="Q62" i="17"/>
  <c r="S62" i="17"/>
  <c r="F62" i="17"/>
  <c r="K62" i="17"/>
  <c r="Q62" i="29"/>
  <c r="K62" i="28"/>
  <c r="H62" i="28"/>
  <c r="S62" i="28"/>
  <c r="Q62" i="28"/>
  <c r="L62" i="28"/>
  <c r="P62" i="28"/>
  <c r="R62" i="28"/>
  <c r="J62" i="28"/>
  <c r="E62" i="28"/>
  <c r="R62" i="29"/>
  <c r="I62" i="28"/>
  <c r="G62" i="28"/>
  <c r="N62" i="28"/>
  <c r="T62" i="28"/>
  <c r="F62" i="28"/>
  <c r="M62" i="28"/>
  <c r="F62" i="29"/>
  <c r="K62" i="29"/>
  <c r="J62" i="29"/>
  <c r="H62" i="29"/>
  <c r="O62" i="29"/>
  <c r="P62" i="29"/>
  <c r="I62" i="29"/>
  <c r="N62" i="29"/>
  <c r="E62" i="29"/>
  <c r="M62" i="29"/>
  <c r="S62" i="29"/>
  <c r="T62" i="29"/>
  <c r="G62" i="29"/>
  <c r="L62" i="29"/>
  <c r="I82" i="17"/>
  <c r="O82" i="28"/>
  <c r="F82" i="17"/>
  <c r="T82" i="17"/>
  <c r="M82" i="17"/>
  <c r="G82" i="17"/>
  <c r="R82" i="17"/>
  <c r="J82" i="17"/>
  <c r="P82" i="17"/>
  <c r="H82" i="17"/>
  <c r="Q82" i="17"/>
  <c r="N82" i="17"/>
  <c r="L82" i="17"/>
  <c r="S82" i="17"/>
  <c r="O82" i="17"/>
  <c r="K82" i="17"/>
  <c r="F82" i="28"/>
  <c r="R82" i="28"/>
  <c r="S82" i="28"/>
  <c r="G82" i="28"/>
  <c r="E82" i="28"/>
  <c r="Q82" i="29"/>
  <c r="M82" i="28"/>
  <c r="L82" i="28"/>
  <c r="K82" i="28"/>
  <c r="P82" i="28"/>
  <c r="N82" i="28"/>
  <c r="R82" i="29"/>
  <c r="Q82" i="28"/>
  <c r="T82" i="28"/>
  <c r="J82" i="28"/>
  <c r="H82" i="28"/>
  <c r="I82" i="28"/>
  <c r="K82" i="29"/>
  <c r="L82" i="29"/>
  <c r="P82" i="29"/>
  <c r="G82" i="29"/>
  <c r="M82" i="29"/>
  <c r="S82" i="29"/>
  <c r="E82" i="29"/>
  <c r="I82" i="29"/>
  <c r="H82" i="29"/>
  <c r="O82" i="29"/>
  <c r="J82" i="29"/>
  <c r="T82" i="29"/>
  <c r="F82" i="29"/>
  <c r="N82" i="29"/>
  <c r="O73" i="17"/>
  <c r="I73" i="17"/>
  <c r="Q73" i="17"/>
  <c r="F73" i="17"/>
  <c r="T73" i="17"/>
  <c r="N73" i="17"/>
  <c r="K73" i="17"/>
  <c r="J73" i="17"/>
  <c r="P73" i="17"/>
  <c r="L73" i="17"/>
  <c r="M73" i="17"/>
  <c r="G73" i="17"/>
  <c r="R73" i="17"/>
  <c r="H73" i="17"/>
  <c r="O73" i="28"/>
  <c r="S73" i="17"/>
  <c r="E73" i="28"/>
  <c r="Q73" i="29"/>
  <c r="L73" i="28"/>
  <c r="P73" i="28"/>
  <c r="K73" i="28"/>
  <c r="R73" i="28"/>
  <c r="G73" i="28"/>
  <c r="R73" i="29"/>
  <c r="F73" i="28"/>
  <c r="M73" i="28"/>
  <c r="I73" i="28"/>
  <c r="Q73" i="28"/>
  <c r="N73" i="28"/>
  <c r="J73" i="28"/>
  <c r="H73" i="28"/>
  <c r="T73" i="28"/>
  <c r="S73" i="28"/>
  <c r="F73" i="29"/>
  <c r="O73" i="29"/>
  <c r="N73" i="29"/>
  <c r="L73" i="29"/>
  <c r="M73" i="29"/>
  <c r="E73" i="29"/>
  <c r="H73" i="29"/>
  <c r="I73" i="29"/>
  <c r="T73" i="29"/>
  <c r="J73" i="29"/>
  <c r="G73" i="29"/>
  <c r="S73" i="29"/>
  <c r="K73" i="29"/>
  <c r="P73" i="29"/>
  <c r="K79" i="17"/>
  <c r="P79" i="17"/>
  <c r="H79" i="17"/>
  <c r="L79" i="17"/>
  <c r="O79" i="28"/>
  <c r="F79" i="17"/>
  <c r="T79" i="17"/>
  <c r="M79" i="17"/>
  <c r="G79" i="17"/>
  <c r="I79" i="17"/>
  <c r="J79" i="17"/>
  <c r="S79" i="17"/>
  <c r="O79" i="17"/>
  <c r="N79" i="17"/>
  <c r="R79" i="17"/>
  <c r="Q79" i="17"/>
  <c r="E79" i="28"/>
  <c r="R79" i="29"/>
  <c r="M79" i="28"/>
  <c r="P79" i="28"/>
  <c r="K79" i="28"/>
  <c r="R79" i="28"/>
  <c r="Q79" i="29"/>
  <c r="Q79" i="28"/>
  <c r="F79" i="28"/>
  <c r="I79" i="28"/>
  <c r="J79" i="28"/>
  <c r="H79" i="28"/>
  <c r="N79" i="28"/>
  <c r="L79" i="28"/>
  <c r="S79" i="28"/>
  <c r="T79" i="28"/>
  <c r="G79" i="28"/>
  <c r="J79" i="29"/>
  <c r="T79" i="29"/>
  <c r="O79" i="29"/>
  <c r="L79" i="29"/>
  <c r="F79" i="29"/>
  <c r="H79" i="29"/>
  <c r="N79" i="29"/>
  <c r="S79" i="29"/>
  <c r="I79" i="29"/>
  <c r="G79" i="29"/>
  <c r="M79" i="29"/>
  <c r="K79" i="29"/>
  <c r="P79" i="29"/>
  <c r="E79" i="29"/>
  <c r="S63" i="17"/>
  <c r="F63" i="17"/>
  <c r="J63" i="17"/>
  <c r="G63" i="17"/>
  <c r="K63" i="17"/>
  <c r="H63" i="17"/>
  <c r="L63" i="17"/>
  <c r="O63" i="28"/>
  <c r="O63" i="17"/>
  <c r="N63" i="17"/>
  <c r="I63" i="17"/>
  <c r="R63" i="17"/>
  <c r="Q63" i="17"/>
  <c r="M63" i="17"/>
  <c r="T63" i="17"/>
  <c r="P63" i="17"/>
  <c r="Q63" i="29"/>
  <c r="R63" i="29"/>
  <c r="Q63" i="28"/>
  <c r="I63" i="28"/>
  <c r="M63" i="28"/>
  <c r="R63" i="28"/>
  <c r="N63" i="28"/>
  <c r="L63" i="28"/>
  <c r="J63" i="28"/>
  <c r="F63" i="28"/>
  <c r="K63" i="28"/>
  <c r="S63" i="28"/>
  <c r="T63" i="28"/>
  <c r="P63" i="28"/>
  <c r="H63" i="28"/>
  <c r="G63" i="28"/>
  <c r="E63" i="28"/>
  <c r="F63" i="29"/>
  <c r="S63" i="29"/>
  <c r="P63" i="29"/>
  <c r="N63" i="29"/>
  <c r="T63" i="29"/>
  <c r="L63" i="29"/>
  <c r="H63" i="29"/>
  <c r="G63" i="29"/>
  <c r="O63" i="29"/>
  <c r="J63" i="29"/>
  <c r="K63" i="29"/>
  <c r="M63" i="29"/>
  <c r="E63" i="29"/>
  <c r="I63" i="29"/>
  <c r="O71" i="28"/>
  <c r="O71" i="17"/>
  <c r="N71" i="17"/>
  <c r="J71" i="17"/>
  <c r="P71" i="17"/>
  <c r="F71" i="17"/>
  <c r="M71" i="17"/>
  <c r="I71" i="17"/>
  <c r="K71" i="17"/>
  <c r="Q71" i="17"/>
  <c r="S71" i="17"/>
  <c r="T71" i="17"/>
  <c r="G71" i="17"/>
  <c r="R71" i="17"/>
  <c r="H71" i="17"/>
  <c r="L71" i="17"/>
  <c r="R71" i="29"/>
  <c r="Q71" i="28"/>
  <c r="F71" i="28"/>
  <c r="J71" i="28"/>
  <c r="T71" i="28"/>
  <c r="P71" i="28"/>
  <c r="E71" i="28"/>
  <c r="L71" i="28"/>
  <c r="S71" i="28"/>
  <c r="R71" i="28"/>
  <c r="N71" i="28"/>
  <c r="I71" i="28"/>
  <c r="K71" i="28"/>
  <c r="H71" i="28"/>
  <c r="G71" i="28"/>
  <c r="Q71" i="29"/>
  <c r="M71" i="28"/>
  <c r="O71" i="29"/>
  <c r="P71" i="29"/>
  <c r="T71" i="29"/>
  <c r="G71" i="29"/>
  <c r="S71" i="29"/>
  <c r="F71" i="29"/>
  <c r="L71" i="29"/>
  <c r="M71" i="29"/>
  <c r="J71" i="29"/>
  <c r="E71" i="29"/>
  <c r="I71" i="29"/>
  <c r="N71" i="29"/>
  <c r="K71" i="29"/>
  <c r="H71" i="29"/>
  <c r="O64" i="28"/>
  <c r="F64" i="17"/>
  <c r="M64" i="17"/>
  <c r="R64" i="17"/>
  <c r="K64" i="17"/>
  <c r="Q64" i="17"/>
  <c r="G64" i="17"/>
  <c r="L64" i="17"/>
  <c r="S64" i="17"/>
  <c r="J64" i="17"/>
  <c r="O64" i="17"/>
  <c r="P64" i="17"/>
  <c r="H64" i="17"/>
  <c r="T64" i="17"/>
  <c r="I64" i="17"/>
  <c r="N64" i="17"/>
  <c r="E64" i="28"/>
  <c r="R64" i="29"/>
  <c r="Q64" i="28"/>
  <c r="I64" i="28"/>
  <c r="J64" i="28"/>
  <c r="N64" i="28"/>
  <c r="S64" i="28"/>
  <c r="Q64" i="29"/>
  <c r="R64" i="28"/>
  <c r="H64" i="28"/>
  <c r="M64" i="28"/>
  <c r="G64" i="28"/>
  <c r="T64" i="28"/>
  <c r="K64" i="28"/>
  <c r="F64" i="28"/>
  <c r="L64" i="28"/>
  <c r="P64" i="28"/>
  <c r="F64" i="29"/>
  <c r="K64" i="29"/>
  <c r="E64" i="29"/>
  <c r="T64" i="29"/>
  <c r="L64" i="29"/>
  <c r="S64" i="29"/>
  <c r="P64" i="29"/>
  <c r="N64" i="29"/>
  <c r="G64" i="29"/>
  <c r="M64" i="29"/>
  <c r="J64" i="29"/>
  <c r="I64" i="29"/>
  <c r="H64" i="29"/>
  <c r="O64" i="29"/>
  <c r="O61" i="28"/>
  <c r="M61" i="17"/>
  <c r="L61" i="17"/>
  <c r="S61" i="17"/>
  <c r="O61" i="17"/>
  <c r="F61" i="17"/>
  <c r="T61" i="17"/>
  <c r="G61" i="17"/>
  <c r="N61" i="17"/>
  <c r="I61" i="17"/>
  <c r="R61" i="17"/>
  <c r="J61" i="17"/>
  <c r="Q61" i="17"/>
  <c r="K61" i="17"/>
  <c r="P61" i="17"/>
  <c r="H61" i="17"/>
  <c r="R61" i="29"/>
  <c r="I61" i="28"/>
  <c r="N61" i="28"/>
  <c r="S61" i="28"/>
  <c r="E61" i="28"/>
  <c r="F61" i="28"/>
  <c r="M61" i="28"/>
  <c r="L61" i="28"/>
  <c r="J61" i="28"/>
  <c r="R61" i="28"/>
  <c r="H61" i="28"/>
  <c r="T61" i="28"/>
  <c r="G61" i="28"/>
  <c r="Q61" i="28"/>
  <c r="K61" i="28"/>
  <c r="Q61" i="29"/>
  <c r="P61" i="28"/>
  <c r="F61" i="29"/>
  <c r="K61" i="29"/>
  <c r="O61" i="29"/>
  <c r="J61" i="29"/>
  <c r="H61" i="29"/>
  <c r="L61" i="29"/>
  <c r="M61" i="29"/>
  <c r="I61" i="29"/>
  <c r="G61" i="29"/>
  <c r="N61" i="29"/>
  <c r="S61" i="29"/>
  <c r="E61" i="29"/>
  <c r="T61" i="29"/>
  <c r="P61" i="29"/>
  <c r="T72" i="17"/>
  <c r="N72" i="17"/>
  <c r="Q72" i="17"/>
  <c r="H72" i="17"/>
  <c r="S72" i="17"/>
  <c r="K72" i="17"/>
  <c r="L72" i="17"/>
  <c r="O72" i="28"/>
  <c r="O72" i="17"/>
  <c r="I72" i="17"/>
  <c r="J72" i="17"/>
  <c r="R72" i="17"/>
  <c r="G72" i="17"/>
  <c r="P72" i="17"/>
  <c r="F72" i="17"/>
  <c r="M72" i="17"/>
  <c r="R72" i="29"/>
  <c r="Q72" i="29"/>
  <c r="M72" i="28"/>
  <c r="L72" i="28"/>
  <c r="J72" i="28"/>
  <c r="S72" i="28"/>
  <c r="E72" i="28"/>
  <c r="I72" i="28"/>
  <c r="P72" i="28"/>
  <c r="R72" i="28"/>
  <c r="G72" i="28"/>
  <c r="K72" i="28"/>
  <c r="H72" i="28"/>
  <c r="N72" i="28"/>
  <c r="T72" i="28"/>
  <c r="Q72" i="28"/>
  <c r="F72" i="28"/>
  <c r="K72" i="29"/>
  <c r="H72" i="29"/>
  <c r="T72" i="29"/>
  <c r="S72" i="29"/>
  <c r="I72" i="29"/>
  <c r="N72" i="29"/>
  <c r="L72" i="29"/>
  <c r="O72" i="29"/>
  <c r="G72" i="29"/>
  <c r="F72" i="29"/>
  <c r="J72" i="29"/>
  <c r="P72" i="29"/>
  <c r="E72" i="29"/>
  <c r="M72" i="29"/>
  <c r="O81" i="28"/>
  <c r="S81" i="17"/>
  <c r="F81" i="17"/>
  <c r="T81" i="17"/>
  <c r="G81" i="17"/>
  <c r="R81" i="17"/>
  <c r="N81" i="17"/>
  <c r="I81" i="17"/>
  <c r="K81" i="17"/>
  <c r="P81" i="17"/>
  <c r="H81" i="17"/>
  <c r="M81" i="17"/>
  <c r="J81" i="17"/>
  <c r="L81" i="17"/>
  <c r="O81" i="17"/>
  <c r="Q81" i="17"/>
  <c r="E81" i="28"/>
  <c r="L81" i="28"/>
  <c r="T81" i="28"/>
  <c r="G81" i="28"/>
  <c r="R81" i="29"/>
  <c r="I81" i="28"/>
  <c r="M81" i="28"/>
  <c r="Q81" i="28"/>
  <c r="K81" i="28"/>
  <c r="N81" i="28"/>
  <c r="S81" i="28"/>
  <c r="J81" i="28"/>
  <c r="Q81" i="29"/>
  <c r="H81" i="28"/>
  <c r="R81" i="28"/>
  <c r="F81" i="28"/>
  <c r="P81" i="28"/>
  <c r="H81" i="29"/>
  <c r="G81" i="29"/>
  <c r="F81" i="29"/>
  <c r="K81" i="29"/>
  <c r="J81" i="29"/>
  <c r="P81" i="29"/>
  <c r="O81" i="29"/>
  <c r="I81" i="29"/>
  <c r="L81" i="29"/>
  <c r="S81" i="29"/>
  <c r="N81" i="29"/>
  <c r="M81" i="29"/>
  <c r="E81" i="29"/>
  <c r="T81" i="29"/>
  <c r="S70" i="17"/>
  <c r="O70" i="17"/>
  <c r="F70" i="17"/>
  <c r="T70" i="17"/>
  <c r="G70" i="17"/>
  <c r="N70" i="17"/>
  <c r="I70" i="17"/>
  <c r="R70" i="17"/>
  <c r="J70" i="17"/>
  <c r="Q70" i="17"/>
  <c r="M70" i="17"/>
  <c r="K70" i="17"/>
  <c r="P70" i="17"/>
  <c r="H70" i="17"/>
  <c r="O70" i="28"/>
  <c r="L70" i="17"/>
  <c r="E70" i="28"/>
  <c r="Q70" i="29"/>
  <c r="L70" i="28"/>
  <c r="J70" i="28"/>
  <c r="T70" i="28"/>
  <c r="G70" i="28"/>
  <c r="R70" i="29"/>
  <c r="Q70" i="28"/>
  <c r="P70" i="28"/>
  <c r="K70" i="28"/>
  <c r="R70" i="28"/>
  <c r="F70" i="28"/>
  <c r="M70" i="28"/>
  <c r="N70" i="28"/>
  <c r="I70" i="28"/>
  <c r="H70" i="28"/>
  <c r="S70" i="28"/>
  <c r="E70" i="29"/>
  <c r="I70" i="29"/>
  <c r="T70" i="29"/>
  <c r="G70" i="29"/>
  <c r="K70" i="29"/>
  <c r="S70" i="29"/>
  <c r="J70" i="29"/>
  <c r="P70" i="29"/>
  <c r="L70" i="29"/>
  <c r="F70" i="29"/>
  <c r="H70" i="29"/>
  <c r="N70" i="29"/>
  <c r="O70" i="29"/>
  <c r="M70" i="29"/>
  <c r="O80" i="17"/>
  <c r="N80" i="17"/>
  <c r="H80" i="17"/>
  <c r="O80" i="28"/>
  <c r="G80" i="17"/>
  <c r="I80" i="17"/>
  <c r="Q80" i="17"/>
  <c r="F80" i="17"/>
  <c r="M80" i="17"/>
  <c r="J80" i="17"/>
  <c r="P80" i="17"/>
  <c r="L80" i="17"/>
  <c r="R80" i="17"/>
  <c r="K80" i="17"/>
  <c r="T80" i="17"/>
  <c r="S80" i="17"/>
  <c r="R80" i="29"/>
  <c r="E80" i="28"/>
  <c r="Q80" i="29"/>
  <c r="F80" i="28"/>
  <c r="P80" i="28"/>
  <c r="J80" i="28"/>
  <c r="H80" i="28"/>
  <c r="R80" i="28"/>
  <c r="L80" i="28"/>
  <c r="G80" i="28"/>
  <c r="I80" i="28"/>
  <c r="M80" i="28"/>
  <c r="K80" i="28"/>
  <c r="T80" i="28"/>
  <c r="N80" i="28"/>
  <c r="S80" i="28"/>
  <c r="Q80" i="28"/>
  <c r="I80" i="29"/>
  <c r="H80" i="29"/>
  <c r="N80" i="29"/>
  <c r="M80" i="29"/>
  <c r="F80" i="29"/>
  <c r="K80" i="29"/>
  <c r="J80" i="29"/>
  <c r="T80" i="29"/>
  <c r="L80" i="29"/>
  <c r="G80" i="29"/>
  <c r="S80" i="29"/>
  <c r="P80" i="29"/>
  <c r="E80" i="29"/>
  <c r="O80" i="29"/>
  <c r="F174" i="1"/>
  <c r="I60" i="28" l="1"/>
  <c r="N78" i="17"/>
  <c r="K60" i="28"/>
  <c r="N60" i="28"/>
  <c r="L60" i="17"/>
  <c r="T78" i="17"/>
  <c r="I78" i="28"/>
  <c r="K78" i="28"/>
  <c r="L78" i="28"/>
  <c r="P78" i="28"/>
  <c r="R78" i="17"/>
  <c r="G78" i="17"/>
  <c r="O78" i="17"/>
  <c r="S78" i="17"/>
  <c r="H69" i="28"/>
  <c r="J69" i="29"/>
  <c r="J69" i="28"/>
  <c r="L69" i="17"/>
  <c r="R69" i="17"/>
  <c r="R68" i="17" s="1"/>
  <c r="S60" i="29"/>
  <c r="M60" i="29"/>
  <c r="S60" i="28"/>
  <c r="H60" i="17"/>
  <c r="G60" i="17"/>
  <c r="G58" i="17" s="1"/>
  <c r="Q60" i="28"/>
  <c r="I60" i="17"/>
  <c r="L78" i="17"/>
  <c r="R60" i="28"/>
  <c r="N78" i="28"/>
  <c r="K69" i="17"/>
  <c r="F78" i="17"/>
  <c r="O69" i="17"/>
  <c r="O68" i="17" s="1"/>
  <c r="H78" i="28"/>
  <c r="L69" i="28"/>
  <c r="F60" i="28"/>
  <c r="K60" i="17"/>
  <c r="R69" i="28"/>
  <c r="O69" i="28"/>
  <c r="H60" i="28"/>
  <c r="H58" i="28" s="1"/>
  <c r="M69" i="28"/>
  <c r="G69" i="17"/>
  <c r="G68" i="17" s="1"/>
  <c r="H78" i="17"/>
  <c r="F69" i="28"/>
  <c r="T69" i="17"/>
  <c r="T68" i="17" s="1"/>
  <c r="T60" i="28"/>
  <c r="N69" i="28"/>
  <c r="K69" i="28"/>
  <c r="Q69" i="28"/>
  <c r="M78" i="28"/>
  <c r="T78" i="28"/>
  <c r="M78" i="17"/>
  <c r="J78" i="28"/>
  <c r="J78" i="17"/>
  <c r="I78" i="17"/>
  <c r="R78" i="28"/>
  <c r="P78" i="17"/>
  <c r="I69" i="28"/>
  <c r="Q69" i="17"/>
  <c r="Q68" i="17" s="1"/>
  <c r="N69" i="29"/>
  <c r="P69" i="29"/>
  <c r="G69" i="29"/>
  <c r="S69" i="28"/>
  <c r="P69" i="28"/>
  <c r="T69" i="28"/>
  <c r="E69" i="28"/>
  <c r="P69" i="17"/>
  <c r="P68" i="17" s="1"/>
  <c r="J69" i="17"/>
  <c r="S69" i="17"/>
  <c r="S68" i="17" s="1"/>
  <c r="Q78" i="28"/>
  <c r="Q78" i="17"/>
  <c r="S60" i="17"/>
  <c r="I69" i="17"/>
  <c r="I60" i="29"/>
  <c r="P60" i="28"/>
  <c r="G60" i="28"/>
  <c r="J60" i="28"/>
  <c r="E60" i="28"/>
  <c r="R60" i="29"/>
  <c r="Q60" i="17"/>
  <c r="N60" i="17"/>
  <c r="O60" i="17"/>
  <c r="O60" i="28"/>
  <c r="L60" i="28"/>
  <c r="P60" i="17"/>
  <c r="G69" i="28"/>
  <c r="H69" i="17"/>
  <c r="H68" i="17" s="1"/>
  <c r="M69" i="17"/>
  <c r="M68" i="17" s="1"/>
  <c r="N69" i="17"/>
  <c r="N68" i="17" s="1"/>
  <c r="M60" i="17"/>
  <c r="F60" i="17"/>
  <c r="F58" i="17" s="1"/>
  <c r="S78" i="29"/>
  <c r="G78" i="28"/>
  <c r="F78" i="28"/>
  <c r="E78" i="28"/>
  <c r="O78" i="28"/>
  <c r="K78" i="17"/>
  <c r="F69" i="17"/>
  <c r="F68" i="17" s="1"/>
  <c r="S78" i="28"/>
  <c r="J60" i="17"/>
  <c r="T60" i="17"/>
  <c r="M60" i="28"/>
  <c r="R60" i="17"/>
  <c r="R58" i="17" s="1"/>
  <c r="J60" i="29"/>
  <c r="K78" i="29"/>
  <c r="H69" i="29"/>
  <c r="T69" i="29"/>
  <c r="N78" i="29"/>
  <c r="L78" i="29"/>
  <c r="O60" i="29"/>
  <c r="Q60" i="29"/>
  <c r="M78" i="29"/>
  <c r="O78" i="29"/>
  <c r="M69" i="29"/>
  <c r="F69" i="29"/>
  <c r="S69" i="29"/>
  <c r="I69" i="29"/>
  <c r="R69" i="29"/>
  <c r="P60" i="29"/>
  <c r="P58" i="29" s="1"/>
  <c r="N60" i="29"/>
  <c r="N58" i="29" s="1"/>
  <c r="L60" i="29"/>
  <c r="L58" i="29" s="1"/>
  <c r="K60" i="29"/>
  <c r="E78" i="29"/>
  <c r="G78" i="29"/>
  <c r="H78" i="29"/>
  <c r="T78" i="29"/>
  <c r="Q78" i="29"/>
  <c r="E60" i="29"/>
  <c r="E58" i="29" s="1"/>
  <c r="O69" i="29"/>
  <c r="L69" i="29"/>
  <c r="K69" i="29"/>
  <c r="E69" i="29"/>
  <c r="Q69" i="29"/>
  <c r="T60" i="29"/>
  <c r="T58" i="29" s="1"/>
  <c r="G60" i="29"/>
  <c r="G58" i="29" s="1"/>
  <c r="H60" i="29"/>
  <c r="H58" i="29" s="1"/>
  <c r="F60" i="29"/>
  <c r="F58" i="29" s="1"/>
  <c r="P78" i="29"/>
  <c r="I78" i="29"/>
  <c r="F78" i="29"/>
  <c r="J78" i="29"/>
  <c r="R78" i="29"/>
  <c r="F171" i="1"/>
  <c r="J58" i="29" l="1"/>
  <c r="M58" i="28"/>
  <c r="H58" i="17"/>
  <c r="Q58" i="29"/>
  <c r="R58" i="29"/>
  <c r="O58" i="29"/>
  <c r="E58" i="28"/>
  <c r="M58" i="29"/>
  <c r="R58" i="28"/>
  <c r="S58" i="29"/>
  <c r="G58" i="28"/>
  <c r="F58" i="28"/>
  <c r="K58" i="29"/>
  <c r="M58" i="17"/>
  <c r="I58" i="29"/>
  <c r="Q68" i="28"/>
  <c r="R194" i="28" s="1"/>
  <c r="P68" i="28"/>
  <c r="Q194" i="28" s="1"/>
  <c r="H68" i="28"/>
  <c r="I194" i="28" s="1"/>
  <c r="S68" i="28"/>
  <c r="T194" i="28" s="1"/>
  <c r="N68" i="28"/>
  <c r="O194" i="28" s="1"/>
  <c r="O68" i="28"/>
  <c r="P194" i="28" s="1"/>
  <c r="R68" i="28"/>
  <c r="S194" i="28" s="1"/>
  <c r="T68" i="28"/>
  <c r="U194" i="28" s="1"/>
  <c r="F68" i="28"/>
  <c r="G194" i="28" s="1"/>
  <c r="M68" i="28"/>
  <c r="N194" i="28" s="1"/>
  <c r="G68" i="28"/>
  <c r="H194" i="28" s="1"/>
  <c r="E68" i="28"/>
  <c r="F194" i="28" s="1"/>
  <c r="F77" i="17"/>
  <c r="G122" i="17" s="1"/>
  <c r="G77" i="17"/>
  <c r="H122" i="17" s="1"/>
  <c r="M77" i="17"/>
  <c r="N122" i="17" s="1"/>
  <c r="R77" i="17"/>
  <c r="S122" i="17" s="1"/>
  <c r="H77" i="17"/>
  <c r="I122" i="17" s="1"/>
  <c r="F59" i="29"/>
  <c r="G188" i="29" s="1"/>
  <c r="Q68" i="29"/>
  <c r="R194" i="29" s="1"/>
  <c r="O68" i="29"/>
  <c r="P194" i="29" s="1"/>
  <c r="H77" i="29"/>
  <c r="I191" i="29" s="1"/>
  <c r="G77" i="28"/>
  <c r="H191" i="28" s="1"/>
  <c r="P68" i="29"/>
  <c r="Q194" i="29" s="1"/>
  <c r="R59" i="28"/>
  <c r="S188" i="28" s="1"/>
  <c r="S59" i="29"/>
  <c r="T188" i="29" s="1"/>
  <c r="N59" i="28"/>
  <c r="O188" i="28" s="1"/>
  <c r="F77" i="29"/>
  <c r="G191" i="29" s="1"/>
  <c r="H59" i="29"/>
  <c r="I188" i="29" s="1"/>
  <c r="E68" i="29"/>
  <c r="F194" i="29" s="1"/>
  <c r="E59" i="29"/>
  <c r="F188" i="29" s="1"/>
  <c r="G77" i="29"/>
  <c r="H191" i="29" s="1"/>
  <c r="N59" i="29"/>
  <c r="O188" i="29" s="1"/>
  <c r="S68" i="29"/>
  <c r="T194" i="29" s="1"/>
  <c r="M77" i="29"/>
  <c r="N191" i="29" s="1"/>
  <c r="G59" i="28"/>
  <c r="H188" i="28" s="1"/>
  <c r="N68" i="29"/>
  <c r="O194" i="29" s="1"/>
  <c r="R77" i="28"/>
  <c r="S191" i="28" s="1"/>
  <c r="H59" i="28"/>
  <c r="I188" i="28" s="1"/>
  <c r="F59" i="28"/>
  <c r="G188" i="28" s="1"/>
  <c r="G59" i="29"/>
  <c r="H188" i="29" s="1"/>
  <c r="E77" i="29"/>
  <c r="F191" i="29" s="1"/>
  <c r="P59" i="29"/>
  <c r="Q188" i="29" s="1"/>
  <c r="F68" i="29"/>
  <c r="G194" i="29" s="1"/>
  <c r="Q59" i="29"/>
  <c r="R188" i="29" s="1"/>
  <c r="T68" i="29"/>
  <c r="U194" i="29" s="1"/>
  <c r="E77" i="28"/>
  <c r="F191" i="28" s="1"/>
  <c r="O59" i="28"/>
  <c r="P188" i="28" s="1"/>
  <c r="R59" i="29"/>
  <c r="S188" i="29" s="1"/>
  <c r="P59" i="28"/>
  <c r="Q188" i="28" s="1"/>
  <c r="S59" i="28"/>
  <c r="T188" i="28" s="1"/>
  <c r="R77" i="29"/>
  <c r="S191" i="29" s="1"/>
  <c r="T59" i="29"/>
  <c r="U188" i="29" s="1"/>
  <c r="R68" i="29"/>
  <c r="S194" i="29" s="1"/>
  <c r="M68" i="29"/>
  <c r="N194" i="29" s="1"/>
  <c r="O59" i="29"/>
  <c r="P188" i="29" s="1"/>
  <c r="H68" i="29"/>
  <c r="I194" i="29" s="1"/>
  <c r="M59" i="28"/>
  <c r="N188" i="28" s="1"/>
  <c r="F77" i="28"/>
  <c r="G191" i="28" s="1"/>
  <c r="E59" i="28"/>
  <c r="F188" i="28" s="1"/>
  <c r="G68" i="29"/>
  <c r="H194" i="29" s="1"/>
  <c r="M77" i="28"/>
  <c r="N191" i="28" s="1"/>
  <c r="T59" i="28"/>
  <c r="U188" i="28" s="1"/>
  <c r="H77" i="28"/>
  <c r="I191" i="28" s="1"/>
  <c r="Q59" i="28"/>
  <c r="R188" i="28" s="1"/>
  <c r="M59" i="29"/>
  <c r="N188" i="29" s="1"/>
  <c r="T59" i="17"/>
  <c r="P59" i="17"/>
  <c r="N59" i="17"/>
  <c r="G59" i="17"/>
  <c r="Q59" i="17"/>
  <c r="S59" i="17"/>
  <c r="H59" i="17"/>
  <c r="F59" i="17"/>
  <c r="R59" i="17"/>
  <c r="M59" i="17"/>
  <c r="O59" i="17"/>
  <c r="P125" i="17"/>
  <c r="N125" i="17"/>
  <c r="S125" i="17"/>
  <c r="O125" i="17"/>
  <c r="R125" i="17"/>
  <c r="T125" i="17"/>
  <c r="U125" i="17"/>
  <c r="I125" i="17"/>
  <c r="Q125" i="17"/>
  <c r="G125" i="17"/>
  <c r="H125" i="17"/>
  <c r="F99" i="1" l="1"/>
  <c r="G99" i="1" l="1"/>
  <c r="F100" i="1"/>
  <c r="F57" i="29" s="1"/>
  <c r="D216" i="1"/>
  <c r="H99" i="1" l="1"/>
  <c r="G100" i="1"/>
  <c r="G57" i="29" s="1"/>
  <c r="E173" i="1"/>
  <c r="I99" i="1" l="1"/>
  <c r="H100" i="1"/>
  <c r="H57" i="29" s="1"/>
  <c r="E49" i="29"/>
  <c r="J99" i="1" l="1"/>
  <c r="I100" i="1"/>
  <c r="I57" i="29" s="1"/>
  <c r="E57" i="17"/>
  <c r="E57" i="28"/>
  <c r="F96" i="1"/>
  <c r="K99" i="1" l="1"/>
  <c r="J100" i="1"/>
  <c r="J57" i="29" s="1"/>
  <c r="E49" i="28"/>
  <c r="E42" i="28" s="1"/>
  <c r="F43" i="28"/>
  <c r="F56" i="28" s="1"/>
  <c r="F43" i="29"/>
  <c r="F56" i="29" s="1"/>
  <c r="F185" i="29"/>
  <c r="E42" i="29"/>
  <c r="G96" i="1"/>
  <c r="L99" i="1" l="1"/>
  <c r="K100" i="1"/>
  <c r="K57" i="29" s="1"/>
  <c r="F185" i="28"/>
  <c r="F55" i="29"/>
  <c r="F55" i="28"/>
  <c r="G43" i="28"/>
  <c r="G56" i="28" s="1"/>
  <c r="G43" i="29"/>
  <c r="G56" i="29" s="1"/>
  <c r="F52" i="29"/>
  <c r="F51" i="29"/>
  <c r="F53" i="29"/>
  <c r="F54" i="29"/>
  <c r="F51" i="28"/>
  <c r="F53" i="28"/>
  <c r="F54" i="28"/>
  <c r="F52" i="28"/>
  <c r="H96" i="1"/>
  <c r="M99" i="1" l="1"/>
  <c r="L100" i="1"/>
  <c r="L57" i="29" s="1"/>
  <c r="G54" i="28"/>
  <c r="G55" i="28"/>
  <c r="G55" i="29"/>
  <c r="F50" i="28"/>
  <c r="G51" i="29"/>
  <c r="G54" i="29"/>
  <c r="G52" i="29"/>
  <c r="G53" i="29"/>
  <c r="H43" i="28"/>
  <c r="H56" i="28" s="1"/>
  <c r="H43" i="29"/>
  <c r="H56" i="29" s="1"/>
  <c r="F50" i="29"/>
  <c r="G53" i="28"/>
  <c r="G51" i="28"/>
  <c r="G52" i="28"/>
  <c r="I96" i="1"/>
  <c r="N99" i="1" l="1"/>
  <c r="M100" i="1"/>
  <c r="M57" i="29" s="1"/>
  <c r="H55" i="29"/>
  <c r="H55" i="28"/>
  <c r="G50" i="28"/>
  <c r="I43" i="28"/>
  <c r="I56" i="28" s="1"/>
  <c r="I43" i="29"/>
  <c r="I56" i="29" s="1"/>
  <c r="H53" i="29"/>
  <c r="H54" i="29"/>
  <c r="H52" i="29"/>
  <c r="H51" i="29"/>
  <c r="H53" i="28"/>
  <c r="H52" i="28"/>
  <c r="H51" i="28"/>
  <c r="H54" i="28"/>
  <c r="G50" i="29"/>
  <c r="J96" i="1"/>
  <c r="O99" i="1" l="1"/>
  <c r="N100" i="1"/>
  <c r="N57" i="29" s="1"/>
  <c r="I55" i="29"/>
  <c r="I55" i="28"/>
  <c r="H50" i="28"/>
  <c r="H50" i="29"/>
  <c r="I54" i="28"/>
  <c r="I53" i="28"/>
  <c r="I52" i="28"/>
  <c r="I51" i="28"/>
  <c r="J43" i="28"/>
  <c r="J56" i="28" s="1"/>
  <c r="J43" i="29"/>
  <c r="J56" i="29" s="1"/>
  <c r="I54" i="29"/>
  <c r="I52" i="29"/>
  <c r="I53" i="29"/>
  <c r="I51" i="29"/>
  <c r="K96" i="1"/>
  <c r="P99" i="1" l="1"/>
  <c r="O100" i="1"/>
  <c r="O57" i="29" s="1"/>
  <c r="J55" i="28"/>
  <c r="J55" i="29"/>
  <c r="I50" i="28"/>
  <c r="I50" i="29"/>
  <c r="K43" i="28"/>
  <c r="K56" i="28" s="1"/>
  <c r="K43" i="29"/>
  <c r="K56" i="29" s="1"/>
  <c r="J51" i="29"/>
  <c r="J52" i="29"/>
  <c r="J53" i="29"/>
  <c r="J54" i="29"/>
  <c r="J51" i="28"/>
  <c r="J52" i="28"/>
  <c r="J53" i="28"/>
  <c r="J54" i="28"/>
  <c r="L96" i="1"/>
  <c r="Q99" i="1" l="1"/>
  <c r="P100" i="1"/>
  <c r="P57" i="29" s="1"/>
  <c r="K55" i="29"/>
  <c r="K55" i="28"/>
  <c r="J50" i="28"/>
  <c r="K51" i="29"/>
  <c r="K53" i="29"/>
  <c r="K54" i="29"/>
  <c r="K52" i="29"/>
  <c r="L43" i="28"/>
  <c r="L56" i="28" s="1"/>
  <c r="L43" i="29"/>
  <c r="L56" i="29" s="1"/>
  <c r="K51" i="28"/>
  <c r="K53" i="28"/>
  <c r="K54" i="28"/>
  <c r="K52" i="28"/>
  <c r="J50" i="29"/>
  <c r="M96" i="1"/>
  <c r="R99" i="1" l="1"/>
  <c r="Q100" i="1"/>
  <c r="Q57" i="29" s="1"/>
  <c r="L55" i="29"/>
  <c r="L55" i="28"/>
  <c r="K50" i="28"/>
  <c r="L52" i="28"/>
  <c r="L54" i="28"/>
  <c r="L51" i="28"/>
  <c r="L53" i="28"/>
  <c r="L51" i="29"/>
  <c r="L53" i="29"/>
  <c r="L52" i="29"/>
  <c r="L54" i="29"/>
  <c r="M43" i="28"/>
  <c r="M56" i="28" s="1"/>
  <c r="M43" i="29"/>
  <c r="M56" i="29" s="1"/>
  <c r="K50" i="29"/>
  <c r="N96" i="1"/>
  <c r="R100" i="1" l="1"/>
  <c r="R57" i="29" s="1"/>
  <c r="S99" i="1"/>
  <c r="M55" i="29"/>
  <c r="M55" i="28"/>
  <c r="L50" i="28"/>
  <c r="M54" i="29"/>
  <c r="M51" i="29"/>
  <c r="M53" i="29"/>
  <c r="M52" i="29"/>
  <c r="L50" i="29"/>
  <c r="N43" i="28"/>
  <c r="N56" i="28" s="1"/>
  <c r="N43" i="29"/>
  <c r="N56" i="29" s="1"/>
  <c r="M52" i="28"/>
  <c r="M54" i="28"/>
  <c r="M53" i="28"/>
  <c r="M51" i="28"/>
  <c r="O96" i="1"/>
  <c r="S100" i="1" l="1"/>
  <c r="S57" i="29" s="1"/>
  <c r="T99" i="1"/>
  <c r="N55" i="29"/>
  <c r="N55" i="28"/>
  <c r="M50" i="28"/>
  <c r="O43" i="28"/>
  <c r="O56" i="28" s="1"/>
  <c r="O43" i="29"/>
  <c r="O56" i="29" s="1"/>
  <c r="N51" i="29"/>
  <c r="N54" i="29"/>
  <c r="N53" i="29"/>
  <c r="N52" i="29"/>
  <c r="M50" i="29"/>
  <c r="N52" i="28"/>
  <c r="N53" i="28"/>
  <c r="N54" i="28"/>
  <c r="N51" i="28"/>
  <c r="P96" i="1"/>
  <c r="U99" i="1" l="1"/>
  <c r="U100" i="1" s="1"/>
  <c r="T100" i="1"/>
  <c r="T57" i="29" s="1"/>
  <c r="O55" i="29"/>
  <c r="O55" i="28"/>
  <c r="N50" i="28"/>
  <c r="O52" i="29"/>
  <c r="O51" i="29"/>
  <c r="O54" i="29"/>
  <c r="O53" i="29"/>
  <c r="N50" i="29"/>
  <c r="P43" i="28"/>
  <c r="P56" i="28" s="1"/>
  <c r="P43" i="29"/>
  <c r="P56" i="29" s="1"/>
  <c r="O51" i="28"/>
  <c r="O52" i="28"/>
  <c r="O54" i="28"/>
  <c r="O53" i="28"/>
  <c r="Q96" i="1"/>
  <c r="P55" i="29" l="1"/>
  <c r="P55" i="28"/>
  <c r="O50" i="28"/>
  <c r="P53" i="28"/>
  <c r="P52" i="28"/>
  <c r="P54" i="28"/>
  <c r="P51" i="28"/>
  <c r="Q43" i="28"/>
  <c r="Q56" i="28" s="1"/>
  <c r="Q43" i="29"/>
  <c r="Q56" i="29" s="1"/>
  <c r="O50" i="29"/>
  <c r="P51" i="29"/>
  <c r="P52" i="29"/>
  <c r="P54" i="29"/>
  <c r="P53" i="29"/>
  <c r="R96" i="1"/>
  <c r="Q55" i="29" l="1"/>
  <c r="Q55" i="28"/>
  <c r="P50" i="28"/>
  <c r="R43" i="28"/>
  <c r="R56" i="28" s="1"/>
  <c r="R43" i="29"/>
  <c r="R56" i="29" s="1"/>
  <c r="Q53" i="28"/>
  <c r="Q51" i="28"/>
  <c r="Q52" i="28"/>
  <c r="Q54" i="28"/>
  <c r="P50" i="29"/>
  <c r="Q51" i="29"/>
  <c r="Q52" i="29"/>
  <c r="Q53" i="29"/>
  <c r="Q54" i="29"/>
  <c r="S96" i="1"/>
  <c r="R55" i="29" l="1"/>
  <c r="R55" i="28"/>
  <c r="Q50" i="28"/>
  <c r="R52" i="29"/>
  <c r="R51" i="29"/>
  <c r="R53" i="29"/>
  <c r="R54" i="29"/>
  <c r="S43" i="28"/>
  <c r="S56" i="28" s="1"/>
  <c r="S43" i="29"/>
  <c r="S56" i="29" s="1"/>
  <c r="Q50" i="29"/>
  <c r="R54" i="28"/>
  <c r="R51" i="28"/>
  <c r="R53" i="28"/>
  <c r="R52" i="28"/>
  <c r="T96" i="1"/>
  <c r="E23" i="1"/>
  <c r="S55" i="29" l="1"/>
  <c r="S55" i="28"/>
  <c r="R50" i="28"/>
  <c r="T43" i="28"/>
  <c r="T56" i="28" s="1"/>
  <c r="T43" i="29"/>
  <c r="T56" i="29" s="1"/>
  <c r="R50" i="29"/>
  <c r="S51" i="29"/>
  <c r="S52" i="29"/>
  <c r="S53" i="29"/>
  <c r="S54" i="29"/>
  <c r="S53" i="28"/>
  <c r="S54" i="28"/>
  <c r="S51" i="28"/>
  <c r="S52" i="28"/>
  <c r="T43" i="17"/>
  <c r="T56" i="17" s="1"/>
  <c r="U96" i="1"/>
  <c r="T55" i="28" l="1"/>
  <c r="T55" i="29"/>
  <c r="T55" i="17"/>
  <c r="S50" i="28"/>
  <c r="T51" i="29"/>
  <c r="T53" i="29"/>
  <c r="T52" i="29"/>
  <c r="T54" i="29"/>
  <c r="S50" i="29"/>
  <c r="T53" i="28"/>
  <c r="T54" i="28"/>
  <c r="T51" i="28"/>
  <c r="T52" i="28"/>
  <c r="T53" i="17"/>
  <c r="T51" i="17"/>
  <c r="T54" i="17"/>
  <c r="T52" i="17"/>
  <c r="D105" i="17"/>
  <c r="D104" i="17"/>
  <c r="E43" i="17"/>
  <c r="F5" i="17"/>
  <c r="T50" i="28" l="1"/>
  <c r="T50" i="29"/>
  <c r="T50" i="17"/>
  <c r="G5" i="17"/>
  <c r="G114" i="17"/>
  <c r="G117" i="17" s="1"/>
  <c r="G120" i="17" s="1"/>
  <c r="G123" i="17" s="1"/>
  <c r="H5" i="17" l="1"/>
  <c r="H114" i="17"/>
  <c r="H117" i="17" s="1"/>
  <c r="H120" i="17" s="1"/>
  <c r="H123" i="17" s="1"/>
  <c r="I114" i="17" l="1"/>
  <c r="I117" i="17" s="1"/>
  <c r="I120" i="17" s="1"/>
  <c r="I123" i="17" s="1"/>
  <c r="I5" i="17"/>
  <c r="J114" i="17" l="1"/>
  <c r="J117" i="17" s="1"/>
  <c r="J120" i="17" s="1"/>
  <c r="J123" i="17" s="1"/>
  <c r="J5" i="17"/>
  <c r="K114" i="17" l="1"/>
  <c r="K117" i="17" s="1"/>
  <c r="K120" i="17" s="1"/>
  <c r="K123" i="17" s="1"/>
  <c r="K5" i="17"/>
  <c r="L114" i="17" l="1"/>
  <c r="L117" i="17" s="1"/>
  <c r="L120" i="17" s="1"/>
  <c r="L123" i="17" s="1"/>
  <c r="L5" i="17"/>
  <c r="M114" i="17" l="1"/>
  <c r="M117" i="17" s="1"/>
  <c r="M120" i="17" s="1"/>
  <c r="M123" i="17" s="1"/>
  <c r="M5" i="17"/>
  <c r="N114" i="17" l="1"/>
  <c r="N117" i="17" s="1"/>
  <c r="N120" i="17" s="1"/>
  <c r="N123" i="17" s="1"/>
  <c r="N5" i="17"/>
  <c r="O114" i="17" l="1"/>
  <c r="O117" i="17" s="1"/>
  <c r="O120" i="17" s="1"/>
  <c r="O123" i="17" s="1"/>
  <c r="O5" i="17"/>
  <c r="P114" i="17" l="1"/>
  <c r="P117" i="17" s="1"/>
  <c r="P120" i="17" s="1"/>
  <c r="P123" i="17" s="1"/>
  <c r="P5" i="17"/>
  <c r="Q114" i="17" l="1"/>
  <c r="Q117" i="17" s="1"/>
  <c r="Q120" i="17" s="1"/>
  <c r="Q123" i="17" s="1"/>
  <c r="Q5" i="17"/>
  <c r="R114" i="17" l="1"/>
  <c r="R117" i="17" s="1"/>
  <c r="R120" i="17" s="1"/>
  <c r="R123" i="17" s="1"/>
  <c r="R5" i="17"/>
  <c r="F14" i="1"/>
  <c r="S114" i="17" l="1"/>
  <c r="S117" i="17" s="1"/>
  <c r="S120" i="17" s="1"/>
  <c r="S123" i="17" s="1"/>
  <c r="S5" i="17"/>
  <c r="F23" i="1"/>
  <c r="G14" i="1"/>
  <c r="T114" i="17" l="1"/>
  <c r="T117" i="17" s="1"/>
  <c r="T120" i="17" s="1"/>
  <c r="T123" i="17" s="1"/>
  <c r="T5" i="17"/>
  <c r="G23" i="1"/>
  <c r="H14" i="1"/>
  <c r="U114" i="17" l="1"/>
  <c r="U117" i="17" s="1"/>
  <c r="U120" i="17" s="1"/>
  <c r="U123" i="17" s="1"/>
  <c r="H23" i="1"/>
  <c r="I14" i="1"/>
  <c r="I23" i="1" l="1"/>
  <c r="J14" i="1"/>
  <c r="J23" i="1" l="1"/>
  <c r="K14" i="1"/>
  <c r="K23" i="1" l="1"/>
  <c r="L14" i="1"/>
  <c r="L23" i="1" l="1"/>
  <c r="M14" i="1"/>
  <c r="M23" i="1" l="1"/>
  <c r="N14" i="1"/>
  <c r="N23" i="1" l="1"/>
  <c r="O14" i="1"/>
  <c r="O23" i="1" l="1"/>
  <c r="P14" i="1"/>
  <c r="P23" i="1" l="1"/>
  <c r="Q14" i="1"/>
  <c r="Q23" i="1" l="1"/>
  <c r="R14" i="1"/>
  <c r="R23" i="1" l="1"/>
  <c r="S14" i="1"/>
  <c r="T14" i="1" s="1"/>
  <c r="T23" i="1" l="1"/>
  <c r="U14" i="1"/>
  <c r="T86" i="1"/>
  <c r="T95" i="1"/>
  <c r="S23" i="1"/>
  <c r="U23" i="1" l="1"/>
  <c r="U95" i="1"/>
  <c r="U86" i="1"/>
  <c r="E88" i="17" l="1"/>
  <c r="E96" i="17" l="1"/>
  <c r="E98" i="17" s="1"/>
  <c r="E92" i="17"/>
  <c r="G49" i="29" l="1"/>
  <c r="F49" i="29"/>
  <c r="F43" i="17"/>
  <c r="F56" i="17" s="1"/>
  <c r="G43" i="17"/>
  <c r="G56" i="17" s="1"/>
  <c r="F55" i="17" l="1"/>
  <c r="G55" i="17"/>
  <c r="G57" i="17"/>
  <c r="G57" i="28"/>
  <c r="G49" i="28" s="1"/>
  <c r="F57" i="28"/>
  <c r="F49" i="28" s="1"/>
  <c r="F57" i="17"/>
  <c r="F51" i="17"/>
  <c r="F52" i="17"/>
  <c r="F53" i="17"/>
  <c r="F54" i="17"/>
  <c r="G52" i="17"/>
  <c r="G54" i="17"/>
  <c r="G51" i="17"/>
  <c r="G53" i="17"/>
  <c r="H49" i="29"/>
  <c r="H43" i="17"/>
  <c r="H56" i="17" s="1"/>
  <c r="H55" i="17" l="1"/>
  <c r="H57" i="17"/>
  <c r="H57" i="28"/>
  <c r="H49" i="28" s="1"/>
  <c r="H185" i="29"/>
  <c r="G42" i="29"/>
  <c r="G185" i="29"/>
  <c r="F42" i="29"/>
  <c r="H51" i="17"/>
  <c r="H54" i="17"/>
  <c r="H53" i="17"/>
  <c r="H52" i="17"/>
  <c r="F42" i="28"/>
  <c r="G185" i="28"/>
  <c r="G42" i="28"/>
  <c r="H185" i="28"/>
  <c r="F50" i="17"/>
  <c r="F49" i="17" s="1"/>
  <c r="G50" i="17"/>
  <c r="G49" i="17" s="1"/>
  <c r="I43" i="17"/>
  <c r="I56" i="17" s="1"/>
  <c r="I55" i="17" l="1"/>
  <c r="I185" i="29"/>
  <c r="H42" i="29"/>
  <c r="I53" i="17"/>
  <c r="I51" i="17"/>
  <c r="I52" i="17"/>
  <c r="I54" i="17"/>
  <c r="H42" i="28"/>
  <c r="I185" i="28"/>
  <c r="F42" i="17"/>
  <c r="H116" i="17"/>
  <c r="H50" i="17"/>
  <c r="H49" i="17" s="1"/>
  <c r="I49" i="29"/>
  <c r="J49" i="29"/>
  <c r="J43" i="17"/>
  <c r="J56" i="17" s="1"/>
  <c r="G193" i="29"/>
  <c r="J55" i="17" l="1"/>
  <c r="F167" i="28"/>
  <c r="G190" i="28"/>
  <c r="G190" i="29"/>
  <c r="J57" i="17"/>
  <c r="J57" i="28"/>
  <c r="J49" i="28" s="1"/>
  <c r="G187" i="28"/>
  <c r="G187" i="29"/>
  <c r="I57" i="17"/>
  <c r="I57" i="28"/>
  <c r="I49" i="28" s="1"/>
  <c r="F167" i="29"/>
  <c r="J51" i="17"/>
  <c r="J53" i="17"/>
  <c r="J52" i="17"/>
  <c r="J54" i="17"/>
  <c r="G193" i="28"/>
  <c r="G116" i="17"/>
  <c r="G42" i="17"/>
  <c r="H42" i="17"/>
  <c r="I50" i="17"/>
  <c r="G124" i="17"/>
  <c r="G121" i="17"/>
  <c r="G118" i="17"/>
  <c r="K49" i="29"/>
  <c r="F88" i="17"/>
  <c r="H193" i="29"/>
  <c r="I49" i="17" l="1"/>
  <c r="I42" i="17" s="1"/>
  <c r="H167" i="28"/>
  <c r="H167" i="29"/>
  <c r="K185" i="29"/>
  <c r="J42" i="29"/>
  <c r="H187" i="28"/>
  <c r="H187" i="29"/>
  <c r="G96" i="29"/>
  <c r="G98" i="29" s="1"/>
  <c r="G88" i="29"/>
  <c r="H190" i="28"/>
  <c r="H190" i="29"/>
  <c r="K57" i="17"/>
  <c r="K57" i="28"/>
  <c r="K49" i="28" s="1"/>
  <c r="G167" i="28"/>
  <c r="G167" i="29"/>
  <c r="J185" i="29"/>
  <c r="I42" i="29"/>
  <c r="F166" i="29"/>
  <c r="J185" i="28"/>
  <c r="I42" i="28"/>
  <c r="J42" i="28"/>
  <c r="K185" i="28"/>
  <c r="H193" i="28"/>
  <c r="G96" i="28"/>
  <c r="G98" i="28" s="1"/>
  <c r="G88" i="28"/>
  <c r="F166" i="28"/>
  <c r="I116" i="17"/>
  <c r="F92" i="17"/>
  <c r="F94" i="17" s="1"/>
  <c r="F96" i="17"/>
  <c r="J50" i="17"/>
  <c r="J49" i="17" s="1"/>
  <c r="H121" i="17"/>
  <c r="H124" i="17"/>
  <c r="H118" i="17"/>
  <c r="L49" i="29"/>
  <c r="G88" i="17"/>
  <c r="K43" i="17"/>
  <c r="K56" i="17" s="1"/>
  <c r="F90" i="17"/>
  <c r="K55" i="17" l="1"/>
  <c r="G166" i="29"/>
  <c r="I167" i="29"/>
  <c r="H96" i="29"/>
  <c r="H98" i="29" s="1"/>
  <c r="H88" i="29"/>
  <c r="L57" i="28"/>
  <c r="L49" i="28" s="1"/>
  <c r="L57" i="17"/>
  <c r="L185" i="29"/>
  <c r="K42" i="29"/>
  <c r="G92" i="29"/>
  <c r="G90" i="29"/>
  <c r="K51" i="17"/>
  <c r="K54" i="17"/>
  <c r="K52" i="17"/>
  <c r="K53" i="17"/>
  <c r="G166" i="28"/>
  <c r="I167" i="28"/>
  <c r="L185" i="28"/>
  <c r="K42" i="28"/>
  <c r="H96" i="28"/>
  <c r="H98" i="28" s="1"/>
  <c r="H88" i="28"/>
  <c r="G92" i="28"/>
  <c r="G90" i="28"/>
  <c r="J116" i="17"/>
  <c r="G92" i="17"/>
  <c r="G96" i="17"/>
  <c r="F98" i="17"/>
  <c r="F86" i="17" s="1"/>
  <c r="K116" i="17"/>
  <c r="G119" i="17"/>
  <c r="M49" i="29"/>
  <c r="G90" i="17"/>
  <c r="H88" i="17"/>
  <c r="L43" i="17"/>
  <c r="L56" i="17" s="1"/>
  <c r="L55" i="17" l="1"/>
  <c r="M57" i="17"/>
  <c r="M57" i="28"/>
  <c r="M49" i="28" s="1"/>
  <c r="G94" i="29"/>
  <c r="G86" i="29" s="1"/>
  <c r="I96" i="29"/>
  <c r="I98" i="29" s="1"/>
  <c r="I88" i="29"/>
  <c r="H92" i="29"/>
  <c r="H90" i="29"/>
  <c r="M185" i="29"/>
  <c r="L42" i="29"/>
  <c r="L51" i="17"/>
  <c r="L52" i="17"/>
  <c r="L54" i="17"/>
  <c r="L53" i="17"/>
  <c r="M185" i="28"/>
  <c r="L42" i="28"/>
  <c r="G94" i="28"/>
  <c r="G86" i="28" s="1"/>
  <c r="H92" i="28"/>
  <c r="H90" i="28"/>
  <c r="I96" i="28"/>
  <c r="I98" i="28" s="1"/>
  <c r="I88" i="28"/>
  <c r="G94" i="17"/>
  <c r="J42" i="17"/>
  <c r="H92" i="17"/>
  <c r="H96" i="17"/>
  <c r="G98" i="17"/>
  <c r="K50" i="17"/>
  <c r="K49" i="17" s="1"/>
  <c r="H119" i="17"/>
  <c r="N49" i="29"/>
  <c r="I88" i="17"/>
  <c r="M43" i="17"/>
  <c r="M56" i="17" s="1"/>
  <c r="H90" i="17"/>
  <c r="G86" i="17" l="1"/>
  <c r="M55" i="17"/>
  <c r="H94" i="29"/>
  <c r="H86" i="29" s="1"/>
  <c r="J96" i="29"/>
  <c r="J98" i="29" s="1"/>
  <c r="J88" i="29"/>
  <c r="N57" i="28"/>
  <c r="N49" i="28" s="1"/>
  <c r="N57" i="17"/>
  <c r="F168" i="28"/>
  <c r="F172" i="28" s="1"/>
  <c r="F168" i="29"/>
  <c r="I92" i="29"/>
  <c r="I90" i="29"/>
  <c r="M42" i="29"/>
  <c r="N185" i="29"/>
  <c r="J167" i="28"/>
  <c r="J167" i="29"/>
  <c r="M51" i="17"/>
  <c r="M53" i="17"/>
  <c r="M52" i="17"/>
  <c r="M54" i="17"/>
  <c r="H94" i="17"/>
  <c r="M42" i="28"/>
  <c r="N185" i="28"/>
  <c r="J96" i="28"/>
  <c r="J98" i="28" s="1"/>
  <c r="J88" i="28"/>
  <c r="H94" i="28"/>
  <c r="H86" i="28" s="1"/>
  <c r="I92" i="28"/>
  <c r="I90" i="28"/>
  <c r="I92" i="17"/>
  <c r="I96" i="17"/>
  <c r="K42" i="17"/>
  <c r="H98" i="17"/>
  <c r="L50" i="17"/>
  <c r="L49" i="17" s="1"/>
  <c r="O49" i="29"/>
  <c r="N43" i="17"/>
  <c r="N56" i="17" s="1"/>
  <c r="J88" i="17"/>
  <c r="I90" i="17"/>
  <c r="H86" i="17" l="1"/>
  <c r="N55" i="17"/>
  <c r="G168" i="29"/>
  <c r="G172" i="29" s="1"/>
  <c r="F165" i="28"/>
  <c r="F173" i="28"/>
  <c r="F165" i="29"/>
  <c r="F173" i="29"/>
  <c r="F172" i="29"/>
  <c r="O185" i="29"/>
  <c r="N42" i="29"/>
  <c r="J92" i="29"/>
  <c r="J90" i="29"/>
  <c r="I94" i="29"/>
  <c r="I86" i="29" s="1"/>
  <c r="K96" i="29"/>
  <c r="K98" i="29" s="1"/>
  <c r="K88" i="29"/>
  <c r="O57" i="28"/>
  <c r="O49" i="28" s="1"/>
  <c r="O57" i="17"/>
  <c r="K167" i="28"/>
  <c r="K167" i="29"/>
  <c r="N51" i="17"/>
  <c r="N54" i="17"/>
  <c r="N53" i="17"/>
  <c r="N52" i="17"/>
  <c r="G168" i="28"/>
  <c r="G165" i="28" s="1"/>
  <c r="N42" i="28"/>
  <c r="O185" i="28"/>
  <c r="K96" i="28"/>
  <c r="K98" i="28" s="1"/>
  <c r="K88" i="28"/>
  <c r="I94" i="28"/>
  <c r="I86" i="28" s="1"/>
  <c r="J92" i="28"/>
  <c r="J90" i="28"/>
  <c r="I94" i="17"/>
  <c r="L116" i="17"/>
  <c r="I98" i="17"/>
  <c r="J92" i="17"/>
  <c r="J96" i="17"/>
  <c r="M50" i="17"/>
  <c r="M49" i="17" s="1"/>
  <c r="L42" i="17"/>
  <c r="M116" i="17"/>
  <c r="P49" i="29"/>
  <c r="J90" i="17"/>
  <c r="K88" i="17"/>
  <c r="O43" i="17"/>
  <c r="O56" i="17" s="1"/>
  <c r="I86" i="17" l="1"/>
  <c r="O55" i="17"/>
  <c r="G173" i="29"/>
  <c r="G165" i="29"/>
  <c r="H168" i="29"/>
  <c r="L167" i="28"/>
  <c r="L167" i="29"/>
  <c r="K92" i="29"/>
  <c r="K90" i="29"/>
  <c r="L96" i="29"/>
  <c r="L98" i="29" s="1"/>
  <c r="L88" i="29"/>
  <c r="P57" i="17"/>
  <c r="P57" i="28"/>
  <c r="P49" i="28" s="1"/>
  <c r="J94" i="29"/>
  <c r="J86" i="29" s="1"/>
  <c r="O42" i="29"/>
  <c r="P185" i="29"/>
  <c r="O53" i="17"/>
  <c r="O51" i="17"/>
  <c r="O52" i="17"/>
  <c r="O54" i="17"/>
  <c r="H168" i="28"/>
  <c r="G173" i="28"/>
  <c r="G172" i="28"/>
  <c r="O42" i="28"/>
  <c r="P185" i="28"/>
  <c r="L96" i="28"/>
  <c r="L98" i="28" s="1"/>
  <c r="L88" i="28"/>
  <c r="J94" i="28"/>
  <c r="J86" i="28" s="1"/>
  <c r="K92" i="28"/>
  <c r="K90" i="28"/>
  <c r="J94" i="17"/>
  <c r="J98" i="17"/>
  <c r="K92" i="17"/>
  <c r="K96" i="17"/>
  <c r="N116" i="17"/>
  <c r="N50" i="17"/>
  <c r="N49" i="17" s="1"/>
  <c r="Q49" i="29"/>
  <c r="K90" i="17"/>
  <c r="P43" i="17"/>
  <c r="P56" i="17" s="1"/>
  <c r="L88" i="17"/>
  <c r="J86" i="17" l="1"/>
  <c r="P55" i="17"/>
  <c r="I168" i="29"/>
  <c r="L92" i="29"/>
  <c r="L90" i="29"/>
  <c r="K94" i="29"/>
  <c r="K86" i="29" s="1"/>
  <c r="M96" i="29"/>
  <c r="M98" i="29" s="1"/>
  <c r="M88" i="29"/>
  <c r="Q57" i="17"/>
  <c r="Q57" i="28"/>
  <c r="Q49" i="28" s="1"/>
  <c r="Q185" i="29"/>
  <c r="P42" i="29"/>
  <c r="P54" i="17"/>
  <c r="P53" i="17"/>
  <c r="P51" i="17"/>
  <c r="P52" i="17"/>
  <c r="I168" i="28"/>
  <c r="P42" i="28"/>
  <c r="Q185" i="28"/>
  <c r="M96" i="28"/>
  <c r="M98" i="28" s="1"/>
  <c r="M88" i="28"/>
  <c r="K94" i="28"/>
  <c r="K86" i="28" s="1"/>
  <c r="L92" i="28"/>
  <c r="L90" i="28"/>
  <c r="K94" i="17"/>
  <c r="M42" i="17"/>
  <c r="K98" i="17"/>
  <c r="L92" i="17"/>
  <c r="L96" i="17"/>
  <c r="O50" i="17"/>
  <c r="O49" i="17" s="1"/>
  <c r="N42" i="17"/>
  <c r="O116" i="17"/>
  <c r="R49" i="29"/>
  <c r="Q43" i="17"/>
  <c r="Q56" i="17" s="1"/>
  <c r="M88" i="17"/>
  <c r="L90" i="17"/>
  <c r="K86" i="17" l="1"/>
  <c r="Q55" i="17"/>
  <c r="R57" i="28"/>
  <c r="R49" i="28" s="1"/>
  <c r="R57" i="17"/>
  <c r="N167" i="28"/>
  <c r="N167" i="29"/>
  <c r="M92" i="29"/>
  <c r="M90" i="29"/>
  <c r="J168" i="29"/>
  <c r="N96" i="29"/>
  <c r="N98" i="29" s="1"/>
  <c r="N88" i="29"/>
  <c r="M167" i="28"/>
  <c r="M167" i="29"/>
  <c r="R185" i="29"/>
  <c r="Q42" i="29"/>
  <c r="L94" i="29"/>
  <c r="L86" i="29" s="1"/>
  <c r="Q54" i="17"/>
  <c r="Q51" i="17"/>
  <c r="Q53" i="17"/>
  <c r="Q52" i="17"/>
  <c r="J168" i="28"/>
  <c r="Q42" i="28"/>
  <c r="R185" i="28"/>
  <c r="N96" i="28"/>
  <c r="N98" i="28" s="1"/>
  <c r="N88" i="28"/>
  <c r="M92" i="28"/>
  <c r="M90" i="28"/>
  <c r="L94" i="28"/>
  <c r="L86" i="28" s="1"/>
  <c r="L94" i="17"/>
  <c r="L98" i="17"/>
  <c r="M92" i="17"/>
  <c r="M96" i="17"/>
  <c r="O42" i="17"/>
  <c r="P50" i="17"/>
  <c r="P49" i="17" s="1"/>
  <c r="T49" i="29"/>
  <c r="S49" i="29"/>
  <c r="R43" i="17"/>
  <c r="R56" i="17" s="1"/>
  <c r="M90" i="17"/>
  <c r="N88" i="17"/>
  <c r="L86" i="17" l="1"/>
  <c r="R55" i="17"/>
  <c r="K168" i="29"/>
  <c r="S57" i="28"/>
  <c r="S49" i="28" s="1"/>
  <c r="S57" i="17"/>
  <c r="N90" i="29"/>
  <c r="N92" i="29"/>
  <c r="O167" i="28"/>
  <c r="O167" i="29"/>
  <c r="M94" i="29"/>
  <c r="M86" i="29" s="1"/>
  <c r="O96" i="29"/>
  <c r="O98" i="29" s="1"/>
  <c r="O88" i="29"/>
  <c r="T57" i="17"/>
  <c r="T49" i="17" s="1"/>
  <c r="T57" i="28"/>
  <c r="T49" i="28" s="1"/>
  <c r="S185" i="29"/>
  <c r="R42" i="29"/>
  <c r="R51" i="17"/>
  <c r="R54" i="17"/>
  <c r="R53" i="17"/>
  <c r="R52" i="17"/>
  <c r="K168" i="28"/>
  <c r="P116" i="17"/>
  <c r="R42" i="28"/>
  <c r="S185" i="28"/>
  <c r="O96" i="28"/>
  <c r="O98" i="28" s="1"/>
  <c r="O88" i="28"/>
  <c r="N92" i="28"/>
  <c r="N90" i="28"/>
  <c r="M94" i="28"/>
  <c r="M86" i="28" s="1"/>
  <c r="M94" i="17"/>
  <c r="M98" i="17"/>
  <c r="N92" i="17"/>
  <c r="N96" i="17"/>
  <c r="P42" i="17"/>
  <c r="Q50" i="17"/>
  <c r="Q49" i="17" s="1"/>
  <c r="S43" i="17"/>
  <c r="S56" i="17" s="1"/>
  <c r="N90" i="17"/>
  <c r="O88" i="17"/>
  <c r="M86" i="17" l="1"/>
  <c r="S55" i="17"/>
  <c r="L168" i="29"/>
  <c r="T185" i="29"/>
  <c r="S42" i="29"/>
  <c r="P96" i="29"/>
  <c r="P98" i="29" s="1"/>
  <c r="P88" i="29"/>
  <c r="U185" i="29"/>
  <c r="T42" i="29"/>
  <c r="O92" i="29"/>
  <c r="O90" i="29"/>
  <c r="N94" i="29"/>
  <c r="N86" i="29" s="1"/>
  <c r="P167" i="28"/>
  <c r="P167" i="29"/>
  <c r="S52" i="17"/>
  <c r="S51" i="17"/>
  <c r="S54" i="17"/>
  <c r="S53" i="17"/>
  <c r="L168" i="28"/>
  <c r="T185" i="28"/>
  <c r="S42" i="28"/>
  <c r="U185" i="28"/>
  <c r="T42" i="28"/>
  <c r="O92" i="28"/>
  <c r="O90" i="28"/>
  <c r="P96" i="28"/>
  <c r="P98" i="28" s="1"/>
  <c r="P88" i="28"/>
  <c r="N94" i="28"/>
  <c r="N86" i="28" s="1"/>
  <c r="N94" i="17"/>
  <c r="Q116" i="17"/>
  <c r="N98" i="17"/>
  <c r="O92" i="17"/>
  <c r="O96" i="17"/>
  <c r="T42" i="17"/>
  <c r="U116" i="17"/>
  <c r="Q42" i="17"/>
  <c r="R50" i="17"/>
  <c r="R49" i="17" s="1"/>
  <c r="O90" i="17"/>
  <c r="P88" i="17"/>
  <c r="N86" i="17" l="1"/>
  <c r="M168" i="29"/>
  <c r="T167" i="29"/>
  <c r="Q96" i="29"/>
  <c r="Q98" i="29" s="1"/>
  <c r="Q88" i="29"/>
  <c r="O94" i="29"/>
  <c r="O86" i="29" s="1"/>
  <c r="Q167" i="28"/>
  <c r="Q167" i="29"/>
  <c r="D185" i="29"/>
  <c r="K98" i="14" s="1"/>
  <c r="D184" i="29"/>
  <c r="I98" i="14" s="1"/>
  <c r="C184" i="29"/>
  <c r="H98" i="14" s="1"/>
  <c r="C185" i="29"/>
  <c r="J98" i="14" s="1"/>
  <c r="P92" i="29"/>
  <c r="P90" i="29"/>
  <c r="M168" i="28"/>
  <c r="T167" i="28"/>
  <c r="D185" i="28"/>
  <c r="G98" i="14" s="1"/>
  <c r="C185" i="28"/>
  <c r="F98" i="14" s="1"/>
  <c r="D184" i="28"/>
  <c r="E98" i="14" s="1"/>
  <c r="C184" i="28"/>
  <c r="D98" i="14" s="1"/>
  <c r="O94" i="28"/>
  <c r="O86" i="28" s="1"/>
  <c r="Q96" i="28"/>
  <c r="Q98" i="28" s="1"/>
  <c r="Q88" i="28"/>
  <c r="P92" i="28"/>
  <c r="P90" i="28"/>
  <c r="O94" i="17"/>
  <c r="R116" i="17"/>
  <c r="P92" i="17"/>
  <c r="P96" i="17"/>
  <c r="R42" i="17"/>
  <c r="O98" i="17"/>
  <c r="S50" i="17"/>
  <c r="S49" i="17" s="1"/>
  <c r="Q88" i="17"/>
  <c r="P90" i="17"/>
  <c r="O86" i="17" l="1"/>
  <c r="N168" i="29"/>
  <c r="R167" i="28"/>
  <c r="R167" i="29"/>
  <c r="R96" i="29"/>
  <c r="R98" i="29" s="1"/>
  <c r="R88" i="29"/>
  <c r="P94" i="29"/>
  <c r="P86" i="29" s="1"/>
  <c r="Q92" i="29"/>
  <c r="Q90" i="29"/>
  <c r="N168" i="28"/>
  <c r="Q92" i="28"/>
  <c r="Q90" i="28"/>
  <c r="R96" i="28"/>
  <c r="R98" i="28" s="1"/>
  <c r="R88" i="28"/>
  <c r="P94" i="28"/>
  <c r="P86" i="28" s="1"/>
  <c r="P94" i="17"/>
  <c r="P86" i="17" s="1"/>
  <c r="S116" i="17"/>
  <c r="Q92" i="17"/>
  <c r="Q96" i="17"/>
  <c r="P98" i="17"/>
  <c r="S42" i="17"/>
  <c r="T116" i="17"/>
  <c r="Q90" i="17"/>
  <c r="R88" i="17"/>
  <c r="O168" i="29" l="1"/>
  <c r="Q94" i="29"/>
  <c r="Q86" i="29" s="1"/>
  <c r="S96" i="29"/>
  <c r="S98" i="29" s="1"/>
  <c r="S88" i="29"/>
  <c r="S167" i="28"/>
  <c r="S167" i="29"/>
  <c r="R92" i="29"/>
  <c r="R90" i="29"/>
  <c r="O168" i="28"/>
  <c r="R92" i="28"/>
  <c r="R90" i="28"/>
  <c r="S96" i="28"/>
  <c r="S98" i="28" s="1"/>
  <c r="S88" i="28"/>
  <c r="Q94" i="28"/>
  <c r="Q86" i="28" s="1"/>
  <c r="Q94" i="17"/>
  <c r="R92" i="17"/>
  <c r="R96" i="17"/>
  <c r="Q98" i="17"/>
  <c r="S88" i="17"/>
  <c r="R90" i="17"/>
  <c r="F17" i="1"/>
  <c r="Q86" i="17" l="1"/>
  <c r="P168" i="29"/>
  <c r="F175" i="28"/>
  <c r="F174" i="28" s="1"/>
  <c r="F175" i="29"/>
  <c r="F174" i="29" s="1"/>
  <c r="S92" i="29"/>
  <c r="S90" i="29"/>
  <c r="R94" i="29"/>
  <c r="R86" i="29" s="1"/>
  <c r="T96" i="29"/>
  <c r="T98" i="29" s="1"/>
  <c r="T88" i="29"/>
  <c r="P168" i="28"/>
  <c r="R94" i="17"/>
  <c r="S92" i="28"/>
  <c r="S90" i="28"/>
  <c r="T96" i="28"/>
  <c r="T98" i="28" s="1"/>
  <c r="T88" i="28"/>
  <c r="R94" i="28"/>
  <c r="R86" i="28" s="1"/>
  <c r="S92" i="17"/>
  <c r="S96" i="17"/>
  <c r="R98" i="17"/>
  <c r="T88" i="17"/>
  <c r="S90" i="17"/>
  <c r="G17" i="1"/>
  <c r="R86" i="17" l="1"/>
  <c r="Q168" i="29"/>
  <c r="G175" i="28"/>
  <c r="G174" i="28" s="1"/>
  <c r="G175" i="29"/>
  <c r="G174" i="29" s="1"/>
  <c r="S94" i="29"/>
  <c r="S86" i="29" s="1"/>
  <c r="T92" i="29"/>
  <c r="T90" i="29"/>
  <c r="Q168" i="28"/>
  <c r="T92" i="28"/>
  <c r="T90" i="28"/>
  <c r="S94" i="28"/>
  <c r="S86" i="28" s="1"/>
  <c r="S94" i="17"/>
  <c r="T92" i="17"/>
  <c r="T96" i="17"/>
  <c r="S98" i="17"/>
  <c r="T90" i="17"/>
  <c r="H17" i="1"/>
  <c r="S86" i="17" l="1"/>
  <c r="H175" i="28"/>
  <c r="H174" i="28" s="1"/>
  <c r="H175" i="29"/>
  <c r="H174" i="29" s="1"/>
  <c r="R168" i="29"/>
  <c r="T94" i="29"/>
  <c r="T86" i="29" s="1"/>
  <c r="R168" i="28"/>
  <c r="T94" i="17"/>
  <c r="T94" i="28"/>
  <c r="T86" i="28" s="1"/>
  <c r="T98" i="17"/>
  <c r="I17" i="1"/>
  <c r="T86" i="17" l="1"/>
  <c r="S168" i="29"/>
  <c r="I175" i="28"/>
  <c r="I174" i="28" s="1"/>
  <c r="I175" i="29"/>
  <c r="I174" i="29" s="1"/>
  <c r="S168" i="28"/>
  <c r="J17" i="1"/>
  <c r="T168" i="29" l="1"/>
  <c r="J175" i="28"/>
  <c r="J174" i="28" s="1"/>
  <c r="J175" i="29"/>
  <c r="J174" i="29" s="1"/>
  <c r="T168" i="28"/>
  <c r="K17" i="1"/>
  <c r="K175" i="28" l="1"/>
  <c r="K174" i="28" s="1"/>
  <c r="K175" i="29"/>
  <c r="K174" i="29" s="1"/>
  <c r="L17" i="1"/>
  <c r="L175" i="28" l="1"/>
  <c r="L174" i="28" s="1"/>
  <c r="L175" i="29"/>
  <c r="L174" i="29" s="1"/>
  <c r="M17" i="1"/>
  <c r="M175" i="28" l="1"/>
  <c r="M174" i="28" s="1"/>
  <c r="M175" i="29"/>
  <c r="M174" i="29" s="1"/>
  <c r="N17" i="1"/>
  <c r="N175" i="28" l="1"/>
  <c r="N174" i="28" s="1"/>
  <c r="N175" i="29"/>
  <c r="N174" i="29" s="1"/>
  <c r="O17" i="1"/>
  <c r="O175" i="28" l="1"/>
  <c r="O174" i="28" s="1"/>
  <c r="O175" i="29"/>
  <c r="O174" i="29" s="1"/>
  <c r="P17" i="1"/>
  <c r="P175" i="28" l="1"/>
  <c r="P174" i="28" s="1"/>
  <c r="P175" i="29"/>
  <c r="P174" i="29" s="1"/>
  <c r="Q17" i="1"/>
  <c r="Q175" i="28" l="1"/>
  <c r="Q174" i="28" s="1"/>
  <c r="Q175" i="29"/>
  <c r="Q174" i="29" s="1"/>
  <c r="R17" i="1"/>
  <c r="R175" i="28" l="1"/>
  <c r="R174" i="28" s="1"/>
  <c r="R175" i="29"/>
  <c r="R174" i="29" s="1"/>
  <c r="S17" i="1"/>
  <c r="S175" i="28" l="1"/>
  <c r="S174" i="28" s="1"/>
  <c r="S175" i="29"/>
  <c r="S174" i="29" s="1"/>
  <c r="T17" i="1"/>
  <c r="T175" i="28" l="1"/>
  <c r="T174" i="28" s="1"/>
  <c r="D161" i="28" s="1"/>
  <c r="T175" i="29"/>
  <c r="T174" i="29" s="1"/>
  <c r="U17" i="1"/>
  <c r="D163" i="28" l="1"/>
  <c r="D163" i="29"/>
  <c r="D161" i="29"/>
  <c r="E95" i="1"/>
  <c r="F86" i="1" l="1"/>
  <c r="F95" i="1"/>
  <c r="I193" i="29"/>
  <c r="F16" i="1"/>
  <c r="F134" i="28" l="1"/>
  <c r="F133" i="28" s="1"/>
  <c r="F134" i="29"/>
  <c r="F133" i="29" s="1"/>
  <c r="I190" i="28"/>
  <c r="I190" i="29"/>
  <c r="I187" i="28"/>
  <c r="I187" i="29"/>
  <c r="I193" i="28"/>
  <c r="I121" i="17"/>
  <c r="I124" i="17"/>
  <c r="I118" i="17"/>
  <c r="G86" i="1"/>
  <c r="G95" i="1"/>
  <c r="G16" i="1"/>
  <c r="J187" i="29" l="1"/>
  <c r="J193" i="28"/>
  <c r="J193" i="29"/>
  <c r="K134" i="29"/>
  <c r="K133" i="29" s="1"/>
  <c r="G134" i="29"/>
  <c r="G133" i="29" s="1"/>
  <c r="J190" i="28"/>
  <c r="J190" i="29"/>
  <c r="H166" i="29"/>
  <c r="K134" i="28"/>
  <c r="K133" i="28" s="1"/>
  <c r="G134" i="28"/>
  <c r="G133" i="28" s="1"/>
  <c r="J187" i="28"/>
  <c r="H166" i="28"/>
  <c r="H165" i="28" s="1"/>
  <c r="J118" i="17"/>
  <c r="J121" i="17"/>
  <c r="J124" i="17"/>
  <c r="H86" i="1"/>
  <c r="H16" i="1"/>
  <c r="H95" i="1"/>
  <c r="K193" i="28" l="1"/>
  <c r="K193" i="29"/>
  <c r="H165" i="29"/>
  <c r="H173" i="29"/>
  <c r="H172" i="29"/>
  <c r="K190" i="28"/>
  <c r="K190" i="29"/>
  <c r="H134" i="28"/>
  <c r="H133" i="28" s="1"/>
  <c r="H134" i="29"/>
  <c r="H133" i="29" s="1"/>
  <c r="K187" i="29"/>
  <c r="H172" i="28"/>
  <c r="H173" i="28"/>
  <c r="K187" i="28"/>
  <c r="K124" i="17"/>
  <c r="I119" i="17"/>
  <c r="K118" i="17"/>
  <c r="K121" i="17"/>
  <c r="I86" i="1"/>
  <c r="I95" i="1"/>
  <c r="I16" i="1"/>
  <c r="L193" i="28" l="1"/>
  <c r="L193" i="29"/>
  <c r="I134" i="28"/>
  <c r="I133" i="28" s="1"/>
  <c r="I134" i="29"/>
  <c r="I133" i="29" s="1"/>
  <c r="L187" i="29"/>
  <c r="L190" i="28"/>
  <c r="L190" i="29"/>
  <c r="L187" i="28"/>
  <c r="L118" i="17"/>
  <c r="L124" i="17"/>
  <c r="L121" i="17"/>
  <c r="J86" i="1"/>
  <c r="J16" i="1"/>
  <c r="J95" i="1"/>
  <c r="J134" i="28" l="1"/>
  <c r="J133" i="28" s="1"/>
  <c r="J134" i="29"/>
  <c r="J133" i="29" s="1"/>
  <c r="M193" i="28"/>
  <c r="M193" i="29"/>
  <c r="M187" i="29"/>
  <c r="M190" i="28"/>
  <c r="M190" i="29"/>
  <c r="M187" i="28"/>
  <c r="M121" i="17"/>
  <c r="M124" i="17"/>
  <c r="M118" i="17"/>
  <c r="K86" i="1"/>
  <c r="L95" i="1"/>
  <c r="K95" i="1"/>
  <c r="K37" i="1"/>
  <c r="K16" i="1"/>
  <c r="N190" i="28" l="1"/>
  <c r="N190" i="29"/>
  <c r="N187" i="29"/>
  <c r="N193" i="28"/>
  <c r="N193" i="29"/>
  <c r="N187" i="28"/>
  <c r="N118" i="17"/>
  <c r="N124" i="17"/>
  <c r="N121" i="17"/>
  <c r="L16" i="1"/>
  <c r="L37" i="1"/>
  <c r="M95" i="1"/>
  <c r="L86" i="1"/>
  <c r="M37" i="1"/>
  <c r="M166" i="29" l="1"/>
  <c r="M173" i="29" s="1"/>
  <c r="O193" i="28"/>
  <c r="O193" i="29"/>
  <c r="L134" i="28"/>
  <c r="L133" i="28" s="1"/>
  <c r="L134" i="29"/>
  <c r="L133" i="29" s="1"/>
  <c r="O187" i="29"/>
  <c r="O190" i="28"/>
  <c r="O190" i="29"/>
  <c r="O187" i="28"/>
  <c r="M166" i="28"/>
  <c r="M173" i="28" s="1"/>
  <c r="O118" i="17"/>
  <c r="O121" i="17"/>
  <c r="O124" i="17"/>
  <c r="N119" i="17"/>
  <c r="M86" i="1"/>
  <c r="M16" i="1"/>
  <c r="M165" i="29" l="1"/>
  <c r="M172" i="29"/>
  <c r="M134" i="28"/>
  <c r="M133" i="28" s="1"/>
  <c r="M134" i="29"/>
  <c r="M133" i="29" s="1"/>
  <c r="P187" i="29"/>
  <c r="P190" i="28"/>
  <c r="P190" i="29"/>
  <c r="P193" i="28"/>
  <c r="P193" i="29"/>
  <c r="M165" i="28"/>
  <c r="M172" i="28"/>
  <c r="P187" i="28"/>
  <c r="P118" i="17"/>
  <c r="P124" i="17"/>
  <c r="P121" i="17"/>
  <c r="N16" i="1"/>
  <c r="O86" i="1"/>
  <c r="N86" i="1"/>
  <c r="N37" i="1"/>
  <c r="N95" i="1"/>
  <c r="O37" i="1"/>
  <c r="O95" i="1"/>
  <c r="Q187" i="29" l="1"/>
  <c r="Q193" i="28"/>
  <c r="Q193" i="29"/>
  <c r="N134" i="28"/>
  <c r="N133" i="28" s="1"/>
  <c r="N134" i="29"/>
  <c r="N133" i="29" s="1"/>
  <c r="Q190" i="28"/>
  <c r="Q190" i="29"/>
  <c r="Q187" i="28"/>
  <c r="Q124" i="17"/>
  <c r="Q121" i="17"/>
  <c r="O119" i="17"/>
  <c r="Q118" i="17"/>
  <c r="P119" i="17"/>
  <c r="O16" i="1"/>
  <c r="P86" i="1"/>
  <c r="P37" i="1"/>
  <c r="P95" i="1"/>
  <c r="O134" i="28" l="1"/>
  <c r="O133" i="28" s="1"/>
  <c r="O134" i="29"/>
  <c r="O133" i="29" s="1"/>
  <c r="R193" i="28"/>
  <c r="R193" i="29"/>
  <c r="R187" i="29"/>
  <c r="R190" i="28"/>
  <c r="R190" i="29"/>
  <c r="R187" i="28"/>
  <c r="R118" i="17"/>
  <c r="R121" i="17"/>
  <c r="R124" i="17"/>
  <c r="Q119" i="17"/>
  <c r="P16" i="1"/>
  <c r="Q86" i="1"/>
  <c r="Q37" i="1"/>
  <c r="Q95" i="1"/>
  <c r="P134" i="28" l="1"/>
  <c r="P133" i="28" s="1"/>
  <c r="P134" i="29"/>
  <c r="P133" i="29" s="1"/>
  <c r="S187" i="29"/>
  <c r="S190" i="28"/>
  <c r="S190" i="29"/>
  <c r="S193" i="28"/>
  <c r="S193" i="29"/>
  <c r="S187" i="28"/>
  <c r="S118" i="17"/>
  <c r="R119" i="17"/>
  <c r="S124" i="17"/>
  <c r="S121" i="17"/>
  <c r="Q16" i="1"/>
  <c r="R86" i="1"/>
  <c r="R37" i="1"/>
  <c r="R95" i="1"/>
  <c r="R166" i="29" l="1"/>
  <c r="R165" i="29" s="1"/>
  <c r="T193" i="28"/>
  <c r="T193" i="29"/>
  <c r="T187" i="29"/>
  <c r="Q134" i="28"/>
  <c r="Q133" i="28" s="1"/>
  <c r="Q134" i="29"/>
  <c r="Q133" i="29" s="1"/>
  <c r="T190" i="28"/>
  <c r="T190" i="29"/>
  <c r="T187" i="28"/>
  <c r="R166" i="28"/>
  <c r="R172" i="28" s="1"/>
  <c r="T121" i="17"/>
  <c r="T124" i="17"/>
  <c r="S119" i="17"/>
  <c r="T118" i="17"/>
  <c r="R16" i="1"/>
  <c r="S86" i="1"/>
  <c r="S37" i="1"/>
  <c r="S95" i="1"/>
  <c r="R172" i="29" l="1"/>
  <c r="R173" i="29"/>
  <c r="U190" i="28"/>
  <c r="U190" i="29"/>
  <c r="R134" i="28"/>
  <c r="R133" i="28" s="1"/>
  <c r="R134" i="29"/>
  <c r="R133" i="29" s="1"/>
  <c r="U187" i="29"/>
  <c r="U193" i="28"/>
  <c r="U193" i="29"/>
  <c r="R173" i="28"/>
  <c r="R165" i="28"/>
  <c r="U187" i="28"/>
  <c r="U118" i="17"/>
  <c r="U124" i="17"/>
  <c r="T119" i="17"/>
  <c r="U121" i="17"/>
  <c r="S16" i="1"/>
  <c r="S134" i="28" l="1"/>
  <c r="S133" i="28" s="1"/>
  <c r="S134" i="29"/>
  <c r="S133" i="29" s="1"/>
  <c r="T16" i="1"/>
  <c r="U119" i="17"/>
  <c r="T134" i="28" l="1"/>
  <c r="T133" i="28" s="1"/>
  <c r="T134" i="29"/>
  <c r="T133" i="29" s="1"/>
  <c r="U16" i="1"/>
  <c r="E172" i="1" l="1"/>
  <c r="D101" i="17" l="1"/>
  <c r="D106" i="17" l="1"/>
  <c r="F9" i="29" l="1"/>
  <c r="F9" i="28"/>
  <c r="F9" i="17"/>
  <c r="E47" i="17" l="1"/>
  <c r="F124" i="28"/>
  <c r="G9" i="29"/>
  <c r="G9" i="28"/>
  <c r="G9" i="17"/>
  <c r="F124" i="29"/>
  <c r="E65" i="17" l="1"/>
  <c r="E21" i="17"/>
  <c r="E83" i="17"/>
  <c r="E74" i="17"/>
  <c r="E45" i="17"/>
  <c r="E56" i="17" s="1"/>
  <c r="F123" i="28"/>
  <c r="E89" i="17"/>
  <c r="E90" i="17" s="1"/>
  <c r="E73" i="17"/>
  <c r="E71" i="17"/>
  <c r="E63" i="17"/>
  <c r="E62" i="17"/>
  <c r="E81" i="17"/>
  <c r="E79" i="17"/>
  <c r="E19" i="17"/>
  <c r="E94" i="17"/>
  <c r="E82" i="17"/>
  <c r="E64" i="17"/>
  <c r="E80" i="17"/>
  <c r="E17" i="17"/>
  <c r="E72" i="17"/>
  <c r="E70" i="17"/>
  <c r="E61" i="17"/>
  <c r="E18" i="17"/>
  <c r="E20" i="17"/>
  <c r="G124" i="28"/>
  <c r="H9" i="29"/>
  <c r="H9" i="28"/>
  <c r="H9" i="17"/>
  <c r="F123" i="29"/>
  <c r="G124" i="29"/>
  <c r="I16" i="17"/>
  <c r="I15" i="17" s="1"/>
  <c r="J16" i="17"/>
  <c r="J15" i="17" s="1"/>
  <c r="L16" i="17"/>
  <c r="L15" i="17" s="1"/>
  <c r="R16" i="17"/>
  <c r="R15" i="17" s="1"/>
  <c r="P16" i="17"/>
  <c r="P15" i="17" s="1"/>
  <c r="N16" i="17"/>
  <c r="N15" i="17" s="1"/>
  <c r="S16" i="17"/>
  <c r="S15" i="17" s="1"/>
  <c r="F16" i="17"/>
  <c r="F15" i="17" s="1"/>
  <c r="H16" i="17"/>
  <c r="H15" i="17" s="1"/>
  <c r="G16" i="17"/>
  <c r="G15" i="17" s="1"/>
  <c r="K16" i="17"/>
  <c r="K15" i="17" s="1"/>
  <c r="M16" i="17"/>
  <c r="M15" i="17" s="1"/>
  <c r="T16" i="17"/>
  <c r="T15" i="17" s="1"/>
  <c r="Q16" i="17"/>
  <c r="Q15" i="17" s="1"/>
  <c r="O16" i="17"/>
  <c r="O15" i="17" s="1"/>
  <c r="E86" i="17" l="1"/>
  <c r="E51" i="17"/>
  <c r="E54" i="17"/>
  <c r="E55" i="17"/>
  <c r="E52" i="17"/>
  <c r="E53" i="17"/>
  <c r="E16" i="17"/>
  <c r="E15" i="17" s="1"/>
  <c r="E69" i="17"/>
  <c r="E68" i="17" s="1"/>
  <c r="E78" i="17"/>
  <c r="E77" i="17" s="1"/>
  <c r="E60" i="17"/>
  <c r="G123" i="29"/>
  <c r="H124" i="28"/>
  <c r="H124" i="29"/>
  <c r="I9" i="29"/>
  <c r="I9" i="28"/>
  <c r="I9" i="17"/>
  <c r="G123" i="28"/>
  <c r="E58" i="17" l="1"/>
  <c r="E59" i="17"/>
  <c r="F119" i="17" s="1"/>
  <c r="E50" i="17"/>
  <c r="E168" i="28"/>
  <c r="D168" i="28" s="1"/>
  <c r="D110" i="14" s="1"/>
  <c r="E168" i="29"/>
  <c r="D168" i="29" s="1"/>
  <c r="H110" i="14" s="1"/>
  <c r="F125" i="17"/>
  <c r="F122" i="17"/>
  <c r="I124" i="28"/>
  <c r="I124" i="29"/>
  <c r="I123" i="29" s="1"/>
  <c r="J9" i="29"/>
  <c r="J9" i="28"/>
  <c r="J9" i="17"/>
  <c r="H123" i="28"/>
  <c r="H123" i="29"/>
  <c r="E49" i="17" l="1"/>
  <c r="E42" i="17" s="1"/>
  <c r="I123" i="28"/>
  <c r="E166" i="29"/>
  <c r="E166" i="28"/>
  <c r="J124" i="28"/>
  <c r="J124" i="29"/>
  <c r="K9" i="29"/>
  <c r="K9" i="28"/>
  <c r="K9" i="17"/>
  <c r="T118" i="28"/>
  <c r="R118" i="28"/>
  <c r="S118" i="28"/>
  <c r="F116" i="17" l="1"/>
  <c r="C115" i="17" s="1"/>
  <c r="E167" i="29"/>
  <c r="E165" i="29" s="1"/>
  <c r="E167" i="28"/>
  <c r="D167" i="28" s="1"/>
  <c r="D109" i="14" s="1"/>
  <c r="K124" i="28"/>
  <c r="K124" i="29"/>
  <c r="K123" i="29" s="1"/>
  <c r="J123" i="28"/>
  <c r="L9" i="29"/>
  <c r="L9" i="28"/>
  <c r="L9" i="17"/>
  <c r="J123" i="29"/>
  <c r="T146" i="28"/>
  <c r="S146" i="28"/>
  <c r="R146" i="28"/>
  <c r="E172" i="28" l="1"/>
  <c r="D116" i="17"/>
  <c r="D115" i="17"/>
  <c r="C116" i="17"/>
  <c r="E172" i="29"/>
  <c r="D167" i="29"/>
  <c r="H109" i="14" s="1"/>
  <c r="E173" i="29"/>
  <c r="E173" i="28"/>
  <c r="E165" i="28"/>
  <c r="K123" i="28"/>
  <c r="M9" i="29"/>
  <c r="M9" i="28"/>
  <c r="M9" i="17"/>
  <c r="L124" i="28"/>
  <c r="L124" i="29"/>
  <c r="M124" i="29" l="1"/>
  <c r="M124" i="28"/>
  <c r="M123" i="28" s="1"/>
  <c r="L123" i="28"/>
  <c r="N9" i="29"/>
  <c r="N9" i="28"/>
  <c r="N9" i="17"/>
  <c r="L123" i="29"/>
  <c r="M123" i="29" l="1"/>
  <c r="N124" i="29"/>
  <c r="N124" i="28"/>
  <c r="O9" i="29"/>
  <c r="O9" i="28"/>
  <c r="O9" i="17"/>
  <c r="N123" i="29" l="1"/>
  <c r="N123" i="28"/>
  <c r="O124" i="28"/>
  <c r="O124" i="29"/>
  <c r="P9" i="29"/>
  <c r="P9" i="28"/>
  <c r="P9" i="17"/>
  <c r="P124" i="28" l="1"/>
  <c r="P124" i="29"/>
  <c r="Q9" i="29"/>
  <c r="Q9" i="28"/>
  <c r="Q9" i="17"/>
  <c r="O123" i="28"/>
  <c r="O123" i="29"/>
  <c r="Q124" i="28" l="1"/>
  <c r="Q123" i="28" s="1"/>
  <c r="Q124" i="29"/>
  <c r="R9" i="29"/>
  <c r="R9" i="28"/>
  <c r="R9" i="17"/>
  <c r="P123" i="29"/>
  <c r="P123" i="28"/>
  <c r="Q123" i="29" l="1"/>
  <c r="R124" i="28"/>
  <c r="S9" i="29"/>
  <c r="S9" i="28"/>
  <c r="S9" i="17"/>
  <c r="R124" i="29"/>
  <c r="S124" i="29" l="1"/>
  <c r="S123" i="29" s="1"/>
  <c r="T9" i="29"/>
  <c r="T9" i="28"/>
  <c r="T9" i="17"/>
  <c r="S124" i="28"/>
  <c r="R123" i="28"/>
  <c r="R123" i="29"/>
  <c r="T124" i="28" l="1"/>
  <c r="S123" i="28"/>
  <c r="T124" i="29"/>
  <c r="D4" i="27" l="1"/>
  <c r="F36" i="29" l="1"/>
  <c r="N36" i="29"/>
  <c r="G36" i="29"/>
  <c r="P36" i="29"/>
  <c r="M36" i="29"/>
  <c r="M36" i="28"/>
  <c r="M36" i="17"/>
  <c r="J36" i="28"/>
  <c r="O36" i="17"/>
  <c r="F36" i="28"/>
  <c r="O36" i="29"/>
  <c r="R36" i="29"/>
  <c r="I36" i="28"/>
  <c r="T36" i="29"/>
  <c r="R36" i="17"/>
  <c r="S36" i="28"/>
  <c r="R36" i="28"/>
  <c r="K36" i="29"/>
  <c r="Q36" i="29"/>
  <c r="Q36" i="28"/>
  <c r="Q36" i="17"/>
  <c r="S36" i="29"/>
  <c r="P36" i="17"/>
  <c r="N36" i="28"/>
  <c r="L36" i="29"/>
  <c r="L36" i="28"/>
  <c r="S36" i="17"/>
  <c r="J36" i="29"/>
  <c r="K36" i="17"/>
  <c r="I36" i="29"/>
  <c r="I36" i="17"/>
  <c r="G36" i="17"/>
  <c r="J36" i="17"/>
  <c r="G36" i="28"/>
  <c r="E36" i="29"/>
  <c r="E36" i="28"/>
  <c r="L36" i="17"/>
  <c r="H36" i="29"/>
  <c r="F36" i="17"/>
  <c r="H36" i="28"/>
  <c r="N36" i="17"/>
  <c r="P36" i="28"/>
  <c r="T36" i="28"/>
  <c r="O36" i="28"/>
  <c r="T36" i="17"/>
  <c r="H36" i="17"/>
  <c r="K36" i="28"/>
  <c r="I35" i="29" l="1"/>
  <c r="M35" i="29"/>
  <c r="Q35" i="29"/>
  <c r="F35" i="29"/>
  <c r="G35" i="17"/>
  <c r="K35" i="17"/>
  <c r="O35" i="17"/>
  <c r="S35" i="17"/>
  <c r="G35" i="28"/>
  <c r="K35" i="28"/>
  <c r="O35" i="28"/>
  <c r="S35" i="28"/>
  <c r="F35" i="17"/>
  <c r="J35" i="29"/>
  <c r="N35" i="29"/>
  <c r="R35" i="29"/>
  <c r="H35" i="17"/>
  <c r="L35" i="17"/>
  <c r="P35" i="17"/>
  <c r="T35" i="17"/>
  <c r="H35" i="28"/>
  <c r="L35" i="28"/>
  <c r="P35" i="28"/>
  <c r="T35" i="28"/>
  <c r="G35" i="29"/>
  <c r="K35" i="29"/>
  <c r="O35" i="29"/>
  <c r="S35" i="29"/>
  <c r="I35" i="17"/>
  <c r="M35" i="17"/>
  <c r="Q35" i="17"/>
  <c r="I35" i="28"/>
  <c r="M35" i="28"/>
  <c r="Q35" i="28"/>
  <c r="H35" i="29"/>
  <c r="L35" i="29"/>
  <c r="P35" i="29"/>
  <c r="T35" i="29"/>
  <c r="J35" i="17"/>
  <c r="N35" i="17"/>
  <c r="R35" i="17"/>
  <c r="J35" i="28"/>
  <c r="N35" i="28"/>
  <c r="R35" i="28"/>
  <c r="F35" i="28"/>
  <c r="G34" i="29"/>
  <c r="K34" i="29"/>
  <c r="O34" i="29"/>
  <c r="S34" i="29"/>
  <c r="I34" i="17"/>
  <c r="M34" i="17"/>
  <c r="Q34" i="17"/>
  <c r="I34" i="28"/>
  <c r="M34" i="28"/>
  <c r="Q34" i="28"/>
  <c r="H34" i="29"/>
  <c r="L34" i="29"/>
  <c r="P34" i="29"/>
  <c r="T34" i="29"/>
  <c r="F34" i="29"/>
  <c r="J34" i="17"/>
  <c r="N34" i="17"/>
  <c r="R34" i="17"/>
  <c r="J34" i="28"/>
  <c r="N34" i="28"/>
  <c r="R34" i="28"/>
  <c r="I34" i="29"/>
  <c r="M34" i="29"/>
  <c r="Q34" i="29"/>
  <c r="G34" i="17"/>
  <c r="K34" i="17"/>
  <c r="O34" i="17"/>
  <c r="S34" i="17"/>
  <c r="G34" i="28"/>
  <c r="K34" i="28"/>
  <c r="O34" i="28"/>
  <c r="S34" i="28"/>
  <c r="F34" i="28"/>
  <c r="J34" i="29"/>
  <c r="N34" i="29"/>
  <c r="R34" i="29"/>
  <c r="H34" i="17"/>
  <c r="L34" i="17"/>
  <c r="P34" i="17"/>
  <c r="T34" i="17"/>
  <c r="H34" i="28"/>
  <c r="L34" i="28"/>
  <c r="P34" i="28"/>
  <c r="T34" i="28"/>
  <c r="F34" i="17"/>
  <c r="G202" i="1"/>
  <c r="F202" i="1"/>
  <c r="E35" i="29"/>
  <c r="E35" i="28"/>
  <c r="E35" i="17"/>
  <c r="E34" i="29"/>
  <c r="E34" i="28"/>
  <c r="E34" i="17"/>
  <c r="E24" i="29" l="1"/>
  <c r="E23" i="29" s="1"/>
  <c r="E24" i="28"/>
  <c r="E23" i="28" s="1"/>
  <c r="E24" i="17"/>
  <c r="E23" i="17" s="1"/>
  <c r="E12" i="29" l="1"/>
  <c r="E11" i="29" s="1"/>
  <c r="E10" i="29" s="1"/>
  <c r="E12" i="17"/>
  <c r="E12" i="28"/>
  <c r="F24" i="28"/>
  <c r="F23" i="28" s="1"/>
  <c r="F24" i="29"/>
  <c r="F24" i="17"/>
  <c r="F23" i="17" s="1"/>
  <c r="F23" i="29" l="1"/>
  <c r="F12" i="29" s="1"/>
  <c r="F11" i="29" s="1"/>
  <c r="F10" i="29" s="1"/>
  <c r="E11" i="28"/>
  <c r="E10" i="28" s="1"/>
  <c r="E11" i="17"/>
  <c r="E10" i="17" s="1"/>
  <c r="F12" i="28"/>
  <c r="F11" i="28" s="1"/>
  <c r="F10" i="28" s="1"/>
  <c r="F12" i="17"/>
  <c r="F11" i="17" s="1"/>
  <c r="F10" i="17" s="1"/>
  <c r="G24" i="17"/>
  <c r="G23" i="17" s="1"/>
  <c r="G24" i="28"/>
  <c r="G23" i="28" s="1"/>
  <c r="G24" i="29"/>
  <c r="G23" i="29" l="1"/>
  <c r="G12" i="29" s="1"/>
  <c r="G11" i="29" s="1"/>
  <c r="G10" i="29" s="1"/>
  <c r="E127" i="28"/>
  <c r="E127" i="29"/>
  <c r="F127" i="28"/>
  <c r="F127" i="29"/>
  <c r="G12" i="28"/>
  <c r="G11" i="28" s="1"/>
  <c r="G10" i="28" s="1"/>
  <c r="G12" i="17"/>
  <c r="G11" i="17" s="1"/>
  <c r="G10" i="17" s="1"/>
  <c r="M24" i="29"/>
  <c r="T24" i="17"/>
  <c r="T23" i="17" s="1"/>
  <c r="J24" i="17"/>
  <c r="J23" i="17" s="1"/>
  <c r="O24" i="17"/>
  <c r="O23" i="17" s="1"/>
  <c r="P24" i="17"/>
  <c r="P23" i="17" s="1"/>
  <c r="L24" i="28"/>
  <c r="L23" i="28" s="1"/>
  <c r="R24" i="29"/>
  <c r="H24" i="29"/>
  <c r="H24" i="28"/>
  <c r="H23" i="28" s="1"/>
  <c r="K24" i="29"/>
  <c r="P24" i="29"/>
  <c r="L24" i="29"/>
  <c r="O24" i="28"/>
  <c r="O23" i="28" s="1"/>
  <c r="S24" i="29"/>
  <c r="S24" i="17"/>
  <c r="S23" i="17" s="1"/>
  <c r="N24" i="29"/>
  <c r="K24" i="28"/>
  <c r="K23" i="28" s="1"/>
  <c r="S24" i="28"/>
  <c r="S23" i="28" s="1"/>
  <c r="R24" i="17"/>
  <c r="R23" i="17" s="1"/>
  <c r="O24" i="29"/>
  <c r="J24" i="29"/>
  <c r="I24" i="17"/>
  <c r="I23" i="17" s="1"/>
  <c r="M24" i="17"/>
  <c r="M23" i="17" s="1"/>
  <c r="R24" i="28"/>
  <c r="R23" i="28" s="1"/>
  <c r="N24" i="17"/>
  <c r="N23" i="17" s="1"/>
  <c r="J24" i="28"/>
  <c r="J23" i="28" s="1"/>
  <c r="L24" i="17"/>
  <c r="L23" i="17" s="1"/>
  <c r="T24" i="29"/>
  <c r="Q24" i="29"/>
  <c r="M24" i="28"/>
  <c r="M23" i="28" s="1"/>
  <c r="I24" i="28"/>
  <c r="I23" i="28" s="1"/>
  <c r="Q24" i="17"/>
  <c r="Q23" i="17" s="1"/>
  <c r="N24" i="28"/>
  <c r="N23" i="28" s="1"/>
  <c r="P24" i="28"/>
  <c r="P23" i="28" s="1"/>
  <c r="I24" i="29"/>
  <c r="T24" i="28"/>
  <c r="T23" i="28" s="1"/>
  <c r="K24" i="17"/>
  <c r="K23" i="17" s="1"/>
  <c r="Q24" i="28"/>
  <c r="Q23" i="28" s="1"/>
  <c r="H24" i="17"/>
  <c r="H23" i="17" s="1"/>
  <c r="E153" i="28" l="1"/>
  <c r="E151" i="28" s="1"/>
  <c r="T23" i="29"/>
  <c r="T12" i="29" s="1"/>
  <c r="T11" i="29" s="1"/>
  <c r="T10" i="29" s="1"/>
  <c r="O23" i="29"/>
  <c r="O12" i="29" s="1"/>
  <c r="O11" i="29" s="1"/>
  <c r="O10" i="29" s="1"/>
  <c r="N23" i="29"/>
  <c r="N12" i="29" s="1"/>
  <c r="N11" i="29" s="1"/>
  <c r="N10" i="29" s="1"/>
  <c r="L23" i="29"/>
  <c r="L12" i="29" s="1"/>
  <c r="L11" i="29" s="1"/>
  <c r="L10" i="29" s="1"/>
  <c r="H23" i="29"/>
  <c r="H12" i="29" s="1"/>
  <c r="H11" i="29" s="1"/>
  <c r="H10" i="29" s="1"/>
  <c r="I23" i="29"/>
  <c r="I12" i="29" s="1"/>
  <c r="I11" i="29" s="1"/>
  <c r="I10" i="29" s="1"/>
  <c r="P23" i="29"/>
  <c r="P12" i="29" s="1"/>
  <c r="P11" i="29" s="1"/>
  <c r="P10" i="29" s="1"/>
  <c r="R23" i="29"/>
  <c r="R12" i="29" s="1"/>
  <c r="R11" i="29" s="1"/>
  <c r="R10" i="29" s="1"/>
  <c r="S23" i="29"/>
  <c r="S12" i="29" s="1"/>
  <c r="S11" i="29" s="1"/>
  <c r="S10" i="29" s="1"/>
  <c r="K23" i="29"/>
  <c r="K12" i="29" s="1"/>
  <c r="K11" i="29" s="1"/>
  <c r="K10" i="29" s="1"/>
  <c r="Q23" i="29"/>
  <c r="Q12" i="29" s="1"/>
  <c r="Q11" i="29" s="1"/>
  <c r="Q10" i="29" s="1"/>
  <c r="J23" i="29"/>
  <c r="J12" i="29" s="1"/>
  <c r="J11" i="29" s="1"/>
  <c r="J10" i="29" s="1"/>
  <c r="M23" i="29"/>
  <c r="M12" i="29" s="1"/>
  <c r="M11" i="29" s="1"/>
  <c r="M10" i="29" s="1"/>
  <c r="E126" i="28"/>
  <c r="E132" i="28" s="1"/>
  <c r="E135" i="28" s="1"/>
  <c r="F126" i="28"/>
  <c r="F132" i="28" s="1"/>
  <c r="F135" i="28" s="1"/>
  <c r="F153" i="28"/>
  <c r="F151" i="28" s="1"/>
  <c r="E126" i="29"/>
  <c r="E132" i="29" s="1"/>
  <c r="E135" i="29" s="1"/>
  <c r="F153" i="29"/>
  <c r="F151" i="29" s="1"/>
  <c r="G127" i="29"/>
  <c r="G153" i="29" s="1"/>
  <c r="G151" i="29" s="1"/>
  <c r="G127" i="28"/>
  <c r="G153" i="28" s="1"/>
  <c r="E153" i="29"/>
  <c r="E151" i="29" s="1"/>
  <c r="F126" i="29"/>
  <c r="F132" i="29" s="1"/>
  <c r="F135" i="29" s="1"/>
  <c r="P12" i="28"/>
  <c r="P11" i="28" s="1"/>
  <c r="P10" i="28" s="1"/>
  <c r="J12" i="28"/>
  <c r="J11" i="28" s="1"/>
  <c r="J10" i="28" s="1"/>
  <c r="K12" i="17"/>
  <c r="K11" i="17" s="1"/>
  <c r="K10" i="17" s="1"/>
  <c r="N12" i="28"/>
  <c r="N11" i="28" s="1"/>
  <c r="N10" i="28" s="1"/>
  <c r="N12" i="17"/>
  <c r="N11" i="17" s="1"/>
  <c r="N10" i="17" s="1"/>
  <c r="K12" i="28"/>
  <c r="K11" i="28" s="1"/>
  <c r="K10" i="28" s="1"/>
  <c r="O12" i="28"/>
  <c r="O11" i="28" s="1"/>
  <c r="O10" i="28" s="1"/>
  <c r="H12" i="28"/>
  <c r="H11" i="28" s="1"/>
  <c r="H10" i="28" s="1"/>
  <c r="P12" i="17"/>
  <c r="P11" i="17" s="1"/>
  <c r="P10" i="17" s="1"/>
  <c r="Q12" i="28"/>
  <c r="Q11" i="28" s="1"/>
  <c r="Q10" i="28" s="1"/>
  <c r="M12" i="28"/>
  <c r="M11" i="28" s="1"/>
  <c r="M10" i="28" s="1"/>
  <c r="I12" i="17"/>
  <c r="I11" i="17" s="1"/>
  <c r="I10" i="17" s="1"/>
  <c r="S12" i="28"/>
  <c r="S11" i="28" s="1"/>
  <c r="S10" i="28" s="1"/>
  <c r="L12" i="28"/>
  <c r="L11" i="28" s="1"/>
  <c r="L10" i="28" s="1"/>
  <c r="T12" i="17"/>
  <c r="T11" i="17" s="1"/>
  <c r="T10" i="17" s="1"/>
  <c r="T12" i="28"/>
  <c r="T11" i="28" s="1"/>
  <c r="T10" i="28" s="1"/>
  <c r="Q12" i="17"/>
  <c r="Q11" i="17" s="1"/>
  <c r="Q10" i="17" s="1"/>
  <c r="R12" i="28"/>
  <c r="R11" i="28" s="1"/>
  <c r="R10" i="28" s="1"/>
  <c r="O12" i="17"/>
  <c r="O11" i="17" s="1"/>
  <c r="O10" i="17" s="1"/>
  <c r="H12" i="17"/>
  <c r="H11" i="17" s="1"/>
  <c r="H10" i="17" s="1"/>
  <c r="I12" i="28"/>
  <c r="I11" i="28" s="1"/>
  <c r="I10" i="28" s="1"/>
  <c r="L12" i="17"/>
  <c r="L11" i="17" s="1"/>
  <c r="L10" i="17" s="1"/>
  <c r="M12" i="17"/>
  <c r="M11" i="17" s="1"/>
  <c r="M10" i="17" s="1"/>
  <c r="R12" i="17"/>
  <c r="R11" i="17" s="1"/>
  <c r="R10" i="17" s="1"/>
  <c r="S12" i="17"/>
  <c r="S11" i="17" s="1"/>
  <c r="S10" i="17" s="1"/>
  <c r="J12" i="17"/>
  <c r="J11" i="17" s="1"/>
  <c r="J10" i="17" s="1"/>
  <c r="E162" i="28" l="1"/>
  <c r="E170" i="28" s="1"/>
  <c r="E169" i="28" s="1"/>
  <c r="E176" i="28" s="1"/>
  <c r="G126" i="28"/>
  <c r="G132" i="28" s="1"/>
  <c r="G135" i="28" s="1"/>
  <c r="G162" i="29"/>
  <c r="G160" i="29" s="1"/>
  <c r="E162" i="29"/>
  <c r="E170" i="29" s="1"/>
  <c r="E169" i="29" s="1"/>
  <c r="E176" i="29" s="1"/>
  <c r="G126" i="29"/>
  <c r="G132" i="29" s="1"/>
  <c r="G135" i="29" s="1"/>
  <c r="F162" i="28"/>
  <c r="F160" i="28" s="1"/>
  <c r="F162" i="29"/>
  <c r="T127" i="28"/>
  <c r="F117" i="28" s="1"/>
  <c r="F118" i="28" s="1"/>
  <c r="N127" i="28"/>
  <c r="N126" i="28" s="1"/>
  <c r="N132" i="28" s="1"/>
  <c r="N135" i="28" s="1"/>
  <c r="I127" i="29"/>
  <c r="I126" i="29" s="1"/>
  <c r="I132" i="29" s="1"/>
  <c r="I135" i="29" s="1"/>
  <c r="H127" i="28"/>
  <c r="M127" i="29"/>
  <c r="M126" i="29" s="1"/>
  <c r="M132" i="29" s="1"/>
  <c r="M135" i="29" s="1"/>
  <c r="O127" i="29"/>
  <c r="O153" i="29" s="1"/>
  <c r="O151" i="29" s="1"/>
  <c r="T127" i="29"/>
  <c r="L117" i="29" s="1"/>
  <c r="L118" i="29" s="1"/>
  <c r="M127" i="28"/>
  <c r="O127" i="28"/>
  <c r="O153" i="28" s="1"/>
  <c r="O151" i="28" s="1"/>
  <c r="K127" i="29"/>
  <c r="R127" i="29"/>
  <c r="R153" i="29" s="1"/>
  <c r="J127" i="29"/>
  <c r="J153" i="29" s="1"/>
  <c r="J151" i="29" s="1"/>
  <c r="L127" i="29"/>
  <c r="R127" i="28"/>
  <c r="R126" i="28" s="1"/>
  <c r="R132" i="28" s="1"/>
  <c r="R135" i="28" s="1"/>
  <c r="L127" i="28"/>
  <c r="L126" i="28" s="1"/>
  <c r="L132" i="28" s="1"/>
  <c r="L135" i="28" s="1"/>
  <c r="Q127" i="28"/>
  <c r="K127" i="28"/>
  <c r="K126" i="28" s="1"/>
  <c r="K132" i="28" s="1"/>
  <c r="K135" i="28" s="1"/>
  <c r="J127" i="28"/>
  <c r="J153" i="28" s="1"/>
  <c r="J151" i="28" s="1"/>
  <c r="H127" i="29"/>
  <c r="H153" i="29" s="1"/>
  <c r="H162" i="29" s="1"/>
  <c r="H170" i="29" s="1"/>
  <c r="H169" i="29" s="1"/>
  <c r="H176" i="29" s="1"/>
  <c r="S127" i="29"/>
  <c r="I127" i="28"/>
  <c r="Q127" i="29"/>
  <c r="S127" i="28"/>
  <c r="S153" i="28" s="1"/>
  <c r="P127" i="29"/>
  <c r="P126" i="29" s="1"/>
  <c r="P132" i="29" s="1"/>
  <c r="P135" i="29" s="1"/>
  <c r="N127" i="29"/>
  <c r="P127" i="28"/>
  <c r="P126" i="28" s="1"/>
  <c r="P132" i="28" s="1"/>
  <c r="P135" i="28" s="1"/>
  <c r="Q117" i="28"/>
  <c r="Q118" i="28" s="1"/>
  <c r="G151" i="28"/>
  <c r="G162" i="28"/>
  <c r="E160" i="28" l="1"/>
  <c r="H126" i="28"/>
  <c r="H132" i="28" s="1"/>
  <c r="H135" i="28" s="1"/>
  <c r="E160" i="29"/>
  <c r="H153" i="28"/>
  <c r="H162" i="28" s="1"/>
  <c r="Q126" i="28"/>
  <c r="Q132" i="28" s="1"/>
  <c r="Q135" i="28" s="1"/>
  <c r="Q153" i="29"/>
  <c r="Q162" i="29" s="1"/>
  <c r="Q126" i="29"/>
  <c r="Q132" i="29" s="1"/>
  <c r="Q135" i="29" s="1"/>
  <c r="G170" i="29"/>
  <c r="G169" i="29" s="1"/>
  <c r="G176" i="29" s="1"/>
  <c r="H160" i="29"/>
  <c r="O117" i="28"/>
  <c r="O118" i="28" s="1"/>
  <c r="O126" i="29"/>
  <c r="O132" i="29" s="1"/>
  <c r="O135" i="29" s="1"/>
  <c r="R126" i="29"/>
  <c r="R132" i="29" s="1"/>
  <c r="R135" i="29" s="1"/>
  <c r="M126" i="28"/>
  <c r="M132" i="28" s="1"/>
  <c r="M135" i="28" s="1"/>
  <c r="I126" i="28"/>
  <c r="I132" i="28" s="1"/>
  <c r="I135" i="28" s="1"/>
  <c r="J117" i="28"/>
  <c r="J118" i="28" s="1"/>
  <c r="R153" i="28"/>
  <c r="R151" i="28" s="1"/>
  <c r="S153" i="29"/>
  <c r="S162" i="29" s="1"/>
  <c r="N126" i="29"/>
  <c r="N132" i="29" s="1"/>
  <c r="N135" i="29" s="1"/>
  <c r="T153" i="28"/>
  <c r="T162" i="28" s="1"/>
  <c r="T170" i="28" s="1"/>
  <c r="H117" i="28"/>
  <c r="H118" i="28" s="1"/>
  <c r="J162" i="28"/>
  <c r="J160" i="28" s="1"/>
  <c r="S126" i="28"/>
  <c r="S132" i="28" s="1"/>
  <c r="S135" i="28" s="1"/>
  <c r="N117" i="28"/>
  <c r="N118" i="28" s="1"/>
  <c r="E117" i="28"/>
  <c r="E118" i="28" s="1"/>
  <c r="L117" i="28"/>
  <c r="L118" i="28" s="1"/>
  <c r="K126" i="29"/>
  <c r="K132" i="29" s="1"/>
  <c r="K135" i="29" s="1"/>
  <c r="M153" i="28"/>
  <c r="M162" i="28" s="1"/>
  <c r="H126" i="29"/>
  <c r="H132" i="29" s="1"/>
  <c r="H135" i="29" s="1"/>
  <c r="Q153" i="28"/>
  <c r="Q151" i="28" s="1"/>
  <c r="F170" i="28"/>
  <c r="F169" i="28" s="1"/>
  <c r="F176" i="28" s="1"/>
  <c r="H151" i="29"/>
  <c r="J126" i="29"/>
  <c r="J132" i="29" s="1"/>
  <c r="J135" i="29" s="1"/>
  <c r="I153" i="29"/>
  <c r="I151" i="29" s="1"/>
  <c r="L153" i="28"/>
  <c r="L162" i="28" s="1"/>
  <c r="K153" i="29"/>
  <c r="K162" i="29" s="1"/>
  <c r="M153" i="29"/>
  <c r="M162" i="29" s="1"/>
  <c r="N117" i="29"/>
  <c r="N118" i="29" s="1"/>
  <c r="M117" i="29"/>
  <c r="M118" i="29" s="1"/>
  <c r="J117" i="29"/>
  <c r="J118" i="29" s="1"/>
  <c r="R117" i="29"/>
  <c r="R118" i="29" s="1"/>
  <c r="S126" i="29"/>
  <c r="S132" i="29" s="1"/>
  <c r="S135" i="29" s="1"/>
  <c r="N153" i="29"/>
  <c r="N151" i="29" s="1"/>
  <c r="N153" i="28"/>
  <c r="N162" i="28" s="1"/>
  <c r="M117" i="28"/>
  <c r="M118" i="28" s="1"/>
  <c r="K117" i="28"/>
  <c r="K118" i="28" s="1"/>
  <c r="G117" i="28"/>
  <c r="G118" i="28" s="1"/>
  <c r="T126" i="28"/>
  <c r="O117" i="29"/>
  <c r="O118" i="29" s="1"/>
  <c r="P117" i="29"/>
  <c r="P118" i="29" s="1"/>
  <c r="G117" i="29"/>
  <c r="G118" i="29" s="1"/>
  <c r="F160" i="29"/>
  <c r="F170" i="29"/>
  <c r="F169" i="29" s="1"/>
  <c r="F176" i="29" s="1"/>
  <c r="I153" i="28"/>
  <c r="I162" i="28" s="1"/>
  <c r="P117" i="28"/>
  <c r="P118" i="28" s="1"/>
  <c r="Q117" i="29"/>
  <c r="Q118" i="29" s="1"/>
  <c r="I117" i="28"/>
  <c r="I118" i="28" s="1"/>
  <c r="J126" i="28"/>
  <c r="J132" i="28" s="1"/>
  <c r="J135" i="28" s="1"/>
  <c r="F117" i="29"/>
  <c r="F118" i="29" s="1"/>
  <c r="J162" i="29"/>
  <c r="J160" i="29" s="1"/>
  <c r="K153" i="28"/>
  <c r="K151" i="28" s="1"/>
  <c r="L126" i="29"/>
  <c r="L132" i="29" s="1"/>
  <c r="L135" i="29" s="1"/>
  <c r="D106" i="14"/>
  <c r="L153" i="29"/>
  <c r="L162" i="29" s="1"/>
  <c r="O162" i="29"/>
  <c r="O160" i="29" s="1"/>
  <c r="O162" i="28"/>
  <c r="O160" i="28" s="1"/>
  <c r="O126" i="28"/>
  <c r="O132" i="28" s="1"/>
  <c r="O135" i="28" s="1"/>
  <c r="H106" i="14"/>
  <c r="P153" i="29"/>
  <c r="P162" i="29" s="1"/>
  <c r="H117" i="29"/>
  <c r="H118" i="29" s="1"/>
  <c r="E117" i="29"/>
  <c r="E118" i="29" s="1"/>
  <c r="T126" i="29"/>
  <c r="K117" i="29"/>
  <c r="K118" i="29" s="1"/>
  <c r="T153" i="29"/>
  <c r="T162" i="29" s="1"/>
  <c r="T170" i="29" s="1"/>
  <c r="I117" i="29"/>
  <c r="I118" i="29" s="1"/>
  <c r="P153" i="28"/>
  <c r="G170" i="28"/>
  <c r="G169" i="28" s="1"/>
  <c r="G176" i="28" s="1"/>
  <c r="G160" i="28"/>
  <c r="Q151" i="29"/>
  <c r="R151" i="29"/>
  <c r="R162" i="29"/>
  <c r="S151" i="28"/>
  <c r="S162" i="28"/>
  <c r="H112" i="14"/>
  <c r="I76" i="28"/>
  <c r="K76" i="28"/>
  <c r="I67" i="17"/>
  <c r="I76" i="17"/>
  <c r="K67" i="17"/>
  <c r="I67" i="28"/>
  <c r="I68" i="28" l="1"/>
  <c r="J194" i="28" s="1"/>
  <c r="K68" i="28"/>
  <c r="L194" i="28" s="1"/>
  <c r="I68" i="17"/>
  <c r="J125" i="17" s="1"/>
  <c r="H151" i="28"/>
  <c r="I59" i="29"/>
  <c r="J188" i="29" s="1"/>
  <c r="I68" i="29"/>
  <c r="J194" i="29" s="1"/>
  <c r="K59" i="29"/>
  <c r="L188" i="29" s="1"/>
  <c r="J68" i="29"/>
  <c r="K194" i="29" s="1"/>
  <c r="I59" i="28"/>
  <c r="J188" i="28" s="1"/>
  <c r="M151" i="29"/>
  <c r="J170" i="28"/>
  <c r="S151" i="29"/>
  <c r="R162" i="28"/>
  <c r="R170" i="28" s="1"/>
  <c r="R169" i="28" s="1"/>
  <c r="R176" i="28" s="1"/>
  <c r="N151" i="28"/>
  <c r="I162" i="29"/>
  <c r="I160" i="29" s="1"/>
  <c r="D119" i="28"/>
  <c r="T125" i="28" s="1"/>
  <c r="T123" i="28" s="1"/>
  <c r="T132" i="28" s="1"/>
  <c r="T135" i="28" s="1"/>
  <c r="E136" i="28" s="1"/>
  <c r="J170" i="29"/>
  <c r="M151" i="28"/>
  <c r="I151" i="28"/>
  <c r="O170" i="29"/>
  <c r="N162" i="29"/>
  <c r="N170" i="29" s="1"/>
  <c r="Q162" i="28"/>
  <c r="Q160" i="28" s="1"/>
  <c r="K151" i="29"/>
  <c r="L151" i="28"/>
  <c r="K162" i="28"/>
  <c r="L151" i="29"/>
  <c r="P151" i="29"/>
  <c r="K59" i="17"/>
  <c r="L119" i="17" s="1"/>
  <c r="I59" i="17"/>
  <c r="J119" i="17" s="1"/>
  <c r="O170" i="28"/>
  <c r="D119" i="29"/>
  <c r="T125" i="29" s="1"/>
  <c r="T123" i="29" s="1"/>
  <c r="T132" i="29" s="1"/>
  <c r="T135" i="29" s="1"/>
  <c r="E136" i="29" s="1"/>
  <c r="P162" i="28"/>
  <c r="P151" i="28"/>
  <c r="P170" i="29"/>
  <c r="P160" i="29"/>
  <c r="I160" i="28"/>
  <c r="I170" i="28"/>
  <c r="N160" i="28"/>
  <c r="N170" i="28"/>
  <c r="L160" i="28"/>
  <c r="L170" i="28"/>
  <c r="M170" i="29"/>
  <c r="M169" i="29" s="1"/>
  <c r="M176" i="29" s="1"/>
  <c r="M160" i="29"/>
  <c r="S160" i="29"/>
  <c r="S170" i="29"/>
  <c r="M160" i="28"/>
  <c r="M170" i="28"/>
  <c r="M169" i="28" s="1"/>
  <c r="M176" i="28" s="1"/>
  <c r="S160" i="28"/>
  <c r="S170" i="28"/>
  <c r="R170" i="29"/>
  <c r="R169" i="29" s="1"/>
  <c r="R176" i="29" s="1"/>
  <c r="R160" i="29"/>
  <c r="Q160" i="29"/>
  <c r="Q170" i="29"/>
  <c r="K160" i="29"/>
  <c r="K170" i="29"/>
  <c r="H170" i="28"/>
  <c r="H169" i="28" s="1"/>
  <c r="H176" i="28" s="1"/>
  <c r="H160" i="28"/>
  <c r="L160" i="29"/>
  <c r="L170" i="29"/>
  <c r="J76" i="17"/>
  <c r="J76" i="28"/>
  <c r="L67" i="28"/>
  <c r="K67" i="28"/>
  <c r="J67" i="28"/>
  <c r="J67" i="17"/>
  <c r="L67" i="17"/>
  <c r="K76" i="17"/>
  <c r="J68" i="28" l="1"/>
  <c r="K194" i="28" s="1"/>
  <c r="K68" i="17"/>
  <c r="L125" i="17" s="1"/>
  <c r="J68" i="17"/>
  <c r="K125" i="17" s="1"/>
  <c r="L59" i="28"/>
  <c r="M188" i="28" s="1"/>
  <c r="K59" i="28"/>
  <c r="L188" i="28" s="1"/>
  <c r="J59" i="29"/>
  <c r="K188" i="29" s="1"/>
  <c r="L59" i="29"/>
  <c r="M188" i="29" s="1"/>
  <c r="J59" i="28"/>
  <c r="K188" i="28" s="1"/>
  <c r="K68" i="29"/>
  <c r="L194" i="29" s="1"/>
  <c r="R160" i="28"/>
  <c r="E137" i="28"/>
  <c r="I170" i="29"/>
  <c r="D162" i="28"/>
  <c r="D162" i="29"/>
  <c r="Q170" i="28"/>
  <c r="N160" i="29"/>
  <c r="K160" i="28"/>
  <c r="K170" i="28"/>
  <c r="J59" i="17"/>
  <c r="K119" i="17" s="1"/>
  <c r="L59" i="17"/>
  <c r="M119" i="17" s="1"/>
  <c r="E137" i="29"/>
  <c r="P170" i="28"/>
  <c r="P160" i="28"/>
  <c r="L76" i="17"/>
  <c r="L76" i="28"/>
  <c r="L68" i="28" l="1"/>
  <c r="M194" i="28" s="1"/>
  <c r="L68" i="17"/>
  <c r="M125" i="17" s="1"/>
  <c r="L68" i="29"/>
  <c r="M194" i="29" s="1"/>
  <c r="D118" i="17"/>
  <c r="C188" i="29"/>
  <c r="J99" i="14" s="1"/>
  <c r="C118" i="17"/>
  <c r="D119" i="17"/>
  <c r="C119" i="17"/>
  <c r="D187" i="29"/>
  <c r="I99" i="14" s="1"/>
  <c r="C187" i="29"/>
  <c r="H99" i="14" s="1"/>
  <c r="D188" i="28"/>
  <c r="G99" i="14" s="1"/>
  <c r="C187" i="28"/>
  <c r="D99" i="14" s="1"/>
  <c r="D187" i="28"/>
  <c r="E99" i="14" s="1"/>
  <c r="C188" i="28"/>
  <c r="F99" i="14" s="1"/>
  <c r="D188" i="29"/>
  <c r="K99" i="14" s="1"/>
  <c r="I85" i="17"/>
  <c r="I58" i="17" s="1"/>
  <c r="I85" i="28"/>
  <c r="I58" i="28" s="1"/>
  <c r="J85" i="28"/>
  <c r="J58" i="28" s="1"/>
  <c r="C193" i="28" l="1"/>
  <c r="D101" i="14" s="1"/>
  <c r="D194" i="28"/>
  <c r="G101" i="14" s="1"/>
  <c r="C194" i="28"/>
  <c r="F101" i="14" s="1"/>
  <c r="D193" i="28"/>
  <c r="E101" i="14" s="1"/>
  <c r="I77" i="17"/>
  <c r="J122" i="17" s="1"/>
  <c r="D125" i="17"/>
  <c r="C125" i="17"/>
  <c r="C124" i="17"/>
  <c r="D124" i="17"/>
  <c r="C193" i="29"/>
  <c r="H101" i="14" s="1"/>
  <c r="D194" i="29"/>
  <c r="K101" i="14" s="1"/>
  <c r="D193" i="29"/>
  <c r="I101" i="14" s="1"/>
  <c r="C194" i="29"/>
  <c r="J101" i="14" s="1"/>
  <c r="I77" i="28"/>
  <c r="J191" i="28" s="1"/>
  <c r="J77" i="28"/>
  <c r="K191" i="28" s="1"/>
  <c r="I77" i="29"/>
  <c r="J191" i="29" s="1"/>
  <c r="I166" i="29"/>
  <c r="J85" i="17"/>
  <c r="J58" i="17" s="1"/>
  <c r="K85" i="28"/>
  <c r="K58" i="28" s="1"/>
  <c r="K85" i="17"/>
  <c r="K58" i="17" s="1"/>
  <c r="K77" i="17" l="1"/>
  <c r="L122" i="17" s="1"/>
  <c r="J77" i="17"/>
  <c r="K122" i="17" s="1"/>
  <c r="K77" i="29"/>
  <c r="L191" i="29" s="1"/>
  <c r="K77" i="28"/>
  <c r="L191" i="28" s="1"/>
  <c r="J77" i="29"/>
  <c r="K191" i="29" s="1"/>
  <c r="I166" i="28"/>
  <c r="I165" i="28" s="1"/>
  <c r="I173" i="29"/>
  <c r="I165" i="29"/>
  <c r="I172" i="29"/>
  <c r="L85" i="17"/>
  <c r="L58" i="17" s="1"/>
  <c r="L85" i="28"/>
  <c r="L58" i="28" s="1"/>
  <c r="J166" i="28"/>
  <c r="L77" i="17" l="1"/>
  <c r="M122" i="17" s="1"/>
  <c r="L77" i="29"/>
  <c r="M191" i="29" s="1"/>
  <c r="L77" i="28"/>
  <c r="M191" i="28" s="1"/>
  <c r="I172" i="28"/>
  <c r="I173" i="28"/>
  <c r="K166" i="28"/>
  <c r="K172" i="28" s="1"/>
  <c r="K166" i="29"/>
  <c r="K165" i="29" s="1"/>
  <c r="I169" i="29"/>
  <c r="I176" i="29" s="1"/>
  <c r="J166" i="29"/>
  <c r="J172" i="28"/>
  <c r="J165" i="28"/>
  <c r="J173" i="28"/>
  <c r="K173" i="28" l="1"/>
  <c r="K169" i="28" s="1"/>
  <c r="K176" i="28" s="1"/>
  <c r="I169" i="28"/>
  <c r="I176" i="28" s="1"/>
  <c r="K172" i="29"/>
  <c r="K165" i="28"/>
  <c r="K173" i="29"/>
  <c r="J169" i="28"/>
  <c r="J176" i="28" s="1"/>
  <c r="J172" i="29"/>
  <c r="J165" i="29"/>
  <c r="J173" i="29"/>
  <c r="L166" i="29"/>
  <c r="L166" i="28"/>
  <c r="K169" i="29" l="1"/>
  <c r="K176" i="29" s="1"/>
  <c r="J169" i="29"/>
  <c r="J176" i="29" s="1"/>
  <c r="L165" i="28"/>
  <c r="L173" i="28"/>
  <c r="L172" i="28"/>
  <c r="L172" i="29"/>
  <c r="L165" i="29"/>
  <c r="L173" i="29"/>
  <c r="L169" i="28" l="1"/>
  <c r="L176" i="28" s="1"/>
  <c r="L169" i="29"/>
  <c r="L176" i="29" l="1"/>
  <c r="N85" i="28"/>
  <c r="N58" i="28" s="1"/>
  <c r="N85" i="17"/>
  <c r="N58" i="17" s="1"/>
  <c r="O85" i="17"/>
  <c r="O58" i="17" s="1"/>
  <c r="O85" i="28"/>
  <c r="O58" i="28" s="1"/>
  <c r="N77" i="17" l="1"/>
  <c r="O122" i="17" s="1"/>
  <c r="O77" i="17"/>
  <c r="P122" i="17" s="1"/>
  <c r="O77" i="28"/>
  <c r="P191" i="28" s="1"/>
  <c r="O166" i="28"/>
  <c r="N77" i="29"/>
  <c r="O191" i="29" s="1"/>
  <c r="N166" i="29"/>
  <c r="N166" i="28"/>
  <c r="N77" i="28"/>
  <c r="O191" i="28" s="1"/>
  <c r="P77" i="29"/>
  <c r="Q191" i="29" s="1"/>
  <c r="P85" i="28"/>
  <c r="P58" i="28" s="1"/>
  <c r="P85" i="17"/>
  <c r="P58" i="17" s="1"/>
  <c r="P77" i="17" l="1"/>
  <c r="Q122" i="17" s="1"/>
  <c r="O77" i="29"/>
  <c r="P191" i="29" s="1"/>
  <c r="O166" i="29"/>
  <c r="P77" i="28"/>
  <c r="Q191" i="28" s="1"/>
  <c r="Q85" i="17"/>
  <c r="Q58" i="17" s="1"/>
  <c r="Q85" i="28"/>
  <c r="Q58" i="28" s="1"/>
  <c r="P166" i="29"/>
  <c r="N165" i="28"/>
  <c r="N172" i="28"/>
  <c r="N173" i="28"/>
  <c r="N172" i="29"/>
  <c r="N165" i="29"/>
  <c r="N173" i="29"/>
  <c r="O173" i="28"/>
  <c r="O172" i="28"/>
  <c r="O165" i="28"/>
  <c r="Q77" i="17" l="1"/>
  <c r="R122" i="17" s="1"/>
  <c r="Q77" i="28"/>
  <c r="R191" i="28" s="1"/>
  <c r="Q77" i="29"/>
  <c r="R191" i="29" s="1"/>
  <c r="N169" i="29"/>
  <c r="N176" i="29" s="1"/>
  <c r="O172" i="29"/>
  <c r="O165" i="29"/>
  <c r="O173" i="29"/>
  <c r="P172" i="29"/>
  <c r="P165" i="29"/>
  <c r="P173" i="29"/>
  <c r="O169" i="28"/>
  <c r="O176" i="28" s="1"/>
  <c r="N169" i="28"/>
  <c r="P166" i="28"/>
  <c r="Q166" i="29" l="1"/>
  <c r="Q173" i="29" s="1"/>
  <c r="O169" i="29"/>
  <c r="O176" i="29" s="1"/>
  <c r="Q166" i="28"/>
  <c r="P165" i="28"/>
  <c r="P172" i="28"/>
  <c r="P173" i="28"/>
  <c r="N176" i="28"/>
  <c r="P169" i="29"/>
  <c r="P176" i="29" s="1"/>
  <c r="Q165" i="29" l="1"/>
  <c r="Q172" i="29"/>
  <c r="Q169" i="29" s="1"/>
  <c r="Q176" i="29" s="1"/>
  <c r="P169" i="28"/>
  <c r="P176" i="28" s="1"/>
  <c r="Q172" i="28"/>
  <c r="Q173" i="28"/>
  <c r="Q165" i="28"/>
  <c r="Q169" i="28" l="1"/>
  <c r="Q176" i="28" l="1"/>
  <c r="S85" i="17"/>
  <c r="S58" i="17" s="1"/>
  <c r="T85" i="17"/>
  <c r="T58" i="17" s="1"/>
  <c r="S85" i="28"/>
  <c r="S58" i="28" s="1"/>
  <c r="S77" i="17" l="1"/>
  <c r="T122" i="17" s="1"/>
  <c r="T77" i="17"/>
  <c r="U122" i="17" s="1"/>
  <c r="S77" i="29"/>
  <c r="T191" i="29" s="1"/>
  <c r="S166" i="29"/>
  <c r="S166" i="28"/>
  <c r="S172" i="28" s="1"/>
  <c r="S77" i="28"/>
  <c r="T191" i="28" s="1"/>
  <c r="T85" i="28"/>
  <c r="T58" i="28" s="1"/>
  <c r="T77" i="29" l="1"/>
  <c r="U191" i="29" s="1"/>
  <c r="D190" i="29" s="1"/>
  <c r="I100" i="14" s="1"/>
  <c r="T166" i="29"/>
  <c r="T166" i="28"/>
  <c r="T77" i="28"/>
  <c r="U191" i="28" s="1"/>
  <c r="D191" i="28" s="1"/>
  <c r="G100" i="14" s="1"/>
  <c r="S173" i="28"/>
  <c r="S169" i="28" s="1"/>
  <c r="S176" i="28" s="1"/>
  <c r="C121" i="17"/>
  <c r="D122" i="17"/>
  <c r="S165" i="28"/>
  <c r="C122" i="17"/>
  <c r="D121" i="17"/>
  <c r="S173" i="29"/>
  <c r="S172" i="29"/>
  <c r="S165" i="29"/>
  <c r="C190" i="28" l="1"/>
  <c r="D100" i="14" s="1"/>
  <c r="D191" i="29"/>
  <c r="K100" i="14" s="1"/>
  <c r="T173" i="28"/>
  <c r="T165" i="28"/>
  <c r="T172" i="28"/>
  <c r="D166" i="28"/>
  <c r="D108" i="14" s="1"/>
  <c r="D107" i="14" s="1"/>
  <c r="C191" i="28"/>
  <c r="F100" i="14" s="1"/>
  <c r="S169" i="29"/>
  <c r="C191" i="29"/>
  <c r="J100" i="14" s="1"/>
  <c r="T165" i="29"/>
  <c r="E145" i="29" s="1"/>
  <c r="T173" i="29"/>
  <c r="T172" i="29"/>
  <c r="D190" i="28"/>
  <c r="E100" i="14" s="1"/>
  <c r="C190" i="29"/>
  <c r="H100" i="14" s="1"/>
  <c r="D166" i="29"/>
  <c r="H108" i="14" s="1"/>
  <c r="H107" i="14" s="1"/>
  <c r="E145" i="28" l="1"/>
  <c r="E146" i="28" s="1"/>
  <c r="F145" i="28"/>
  <c r="F146" i="28" s="1"/>
  <c r="G145" i="28"/>
  <c r="G146" i="28" s="1"/>
  <c r="H145" i="28"/>
  <c r="H146" i="28" s="1"/>
  <c r="I145" i="28"/>
  <c r="I146" i="28" s="1"/>
  <c r="J145" i="28"/>
  <c r="J146" i="28" s="1"/>
  <c r="K145" i="28"/>
  <c r="K146" i="28" s="1"/>
  <c r="L145" i="28"/>
  <c r="L146" i="28" s="1"/>
  <c r="M145" i="28"/>
  <c r="M146" i="28" s="1"/>
  <c r="N145" i="28"/>
  <c r="N146" i="28" s="1"/>
  <c r="O145" i="28"/>
  <c r="O146" i="28" s="1"/>
  <c r="P145" i="28"/>
  <c r="P146" i="28" s="1"/>
  <c r="Q145" i="29"/>
  <c r="Q146" i="29" s="1"/>
  <c r="R145" i="29"/>
  <c r="R146" i="29" s="1"/>
  <c r="Q146" i="28"/>
  <c r="S176" i="29"/>
  <c r="D165" i="28"/>
  <c r="P145" i="29"/>
  <c r="P146" i="29" s="1"/>
  <c r="J145" i="29"/>
  <c r="J146" i="29" s="1"/>
  <c r="G145" i="29"/>
  <c r="G146" i="29" s="1"/>
  <c r="K145" i="29"/>
  <c r="K146" i="29" s="1"/>
  <c r="N145" i="29"/>
  <c r="N146" i="29" s="1"/>
  <c r="E146" i="29"/>
  <c r="H145" i="29"/>
  <c r="H146" i="29" s="1"/>
  <c r="O145" i="29"/>
  <c r="O146" i="29" s="1"/>
  <c r="F145" i="29"/>
  <c r="F146" i="29" s="1"/>
  <c r="I145" i="29"/>
  <c r="I146" i="29" s="1"/>
  <c r="M145" i="29"/>
  <c r="M146" i="29" s="1"/>
  <c r="L145" i="29"/>
  <c r="L146" i="29" s="1"/>
  <c r="D165" i="29"/>
  <c r="D147" i="28" l="1"/>
  <c r="T155" i="28" s="1"/>
  <c r="D147" i="29"/>
  <c r="T155" i="29" s="1"/>
  <c r="T164" i="29" l="1"/>
  <c r="T151" i="29"/>
  <c r="T151" i="28"/>
  <c r="T164" i="28"/>
  <c r="D164" i="29" l="1"/>
  <c r="E179" i="29" s="1"/>
  <c r="H113" i="14" s="1"/>
  <c r="T171" i="29"/>
  <c r="T169" i="29" s="1"/>
  <c r="T160" i="29"/>
  <c r="T160" i="28"/>
  <c r="T171" i="28"/>
  <c r="T169" i="28" s="1"/>
  <c r="D164" i="28"/>
  <c r="E179" i="28" s="1"/>
  <c r="D113" i="14" s="1"/>
  <c r="T176" i="29" l="1"/>
  <c r="E177" i="29" s="1"/>
  <c r="H111" i="14" s="1"/>
  <c r="E178" i="29"/>
  <c r="T176" i="28"/>
  <c r="E177" i="28" s="1"/>
  <c r="D111" i="14" s="1"/>
  <c r="E178" i="28"/>
</calcChain>
</file>

<file path=xl/sharedStrings.xml><?xml version="1.0" encoding="utf-8"?>
<sst xmlns="http://schemas.openxmlformats.org/spreadsheetml/2006/main" count="2053" uniqueCount="473">
  <si>
    <t>PLN</t>
  </si>
  <si>
    <t>%</t>
  </si>
  <si>
    <t>-</t>
  </si>
  <si>
    <t>Okres analizy</t>
  </si>
  <si>
    <t>Stopa dyskontowa</t>
  </si>
  <si>
    <t>Kategoria kosztów</t>
  </si>
  <si>
    <t>usługi obce</t>
  </si>
  <si>
    <t>podatki i opłaty</t>
  </si>
  <si>
    <t>pozostałe</t>
  </si>
  <si>
    <t>wynagrodzenia</t>
  </si>
  <si>
    <t xml:space="preserve">Razem koszty eksploatacyjne </t>
  </si>
  <si>
    <t>Rok bazowy</t>
  </si>
  <si>
    <t>Kategoria</t>
  </si>
  <si>
    <t>Wyszczególnienie</t>
  </si>
  <si>
    <t>Suma</t>
  </si>
  <si>
    <t>Realna stopa dyskontowa</t>
  </si>
  <si>
    <t>Społeczna stopa dyskontowa</t>
  </si>
  <si>
    <t>Tabela 1.</t>
  </si>
  <si>
    <t>Tabela 2.</t>
  </si>
  <si>
    <t>Tabela 3.</t>
  </si>
  <si>
    <t>Tabela 4.</t>
  </si>
  <si>
    <t>Tabela 5.</t>
  </si>
  <si>
    <t>Tabela 6.</t>
  </si>
  <si>
    <t>Tabela 7.</t>
  </si>
  <si>
    <t>OKRES ANALIZY</t>
  </si>
  <si>
    <t>TABELA 2.</t>
  </si>
  <si>
    <t>TABELA 3.</t>
  </si>
  <si>
    <t>lata</t>
  </si>
  <si>
    <t>kWh/km</t>
  </si>
  <si>
    <t>3.</t>
  </si>
  <si>
    <t>4.</t>
  </si>
  <si>
    <t>5.</t>
  </si>
  <si>
    <t>Inwestycje</t>
  </si>
  <si>
    <t>1.</t>
  </si>
  <si>
    <t>2.</t>
  </si>
  <si>
    <t>6.</t>
  </si>
  <si>
    <t>7.</t>
  </si>
  <si>
    <t>8.</t>
  </si>
  <si>
    <t>9.</t>
  </si>
  <si>
    <t>10.</t>
  </si>
  <si>
    <t>11.</t>
  </si>
  <si>
    <t>Infrastruktura</t>
  </si>
  <si>
    <t>1.1.</t>
  </si>
  <si>
    <t>1.2.</t>
  </si>
  <si>
    <t>1.3.</t>
  </si>
  <si>
    <t>zł/szt</t>
  </si>
  <si>
    <t>zł</t>
  </si>
  <si>
    <t>szt</t>
  </si>
  <si>
    <t>2.1.</t>
  </si>
  <si>
    <t>2.2.</t>
  </si>
  <si>
    <t>3.1.</t>
  </si>
  <si>
    <t>3.2.</t>
  </si>
  <si>
    <t>Wartość rezydualna</t>
  </si>
  <si>
    <t>2.2.1.</t>
  </si>
  <si>
    <t>2.2.2.</t>
  </si>
  <si>
    <t>2.1.1.</t>
  </si>
  <si>
    <t>2.1.2.</t>
  </si>
  <si>
    <t>3.3.</t>
  </si>
  <si>
    <t>lat</t>
  </si>
  <si>
    <t>Odtworzenia</t>
  </si>
  <si>
    <t>2.3.</t>
  </si>
  <si>
    <t>NOx</t>
  </si>
  <si>
    <t>PM</t>
  </si>
  <si>
    <t>rodzaj autobusu</t>
  </si>
  <si>
    <t>EIRR</t>
  </si>
  <si>
    <t>BCR</t>
  </si>
  <si>
    <t>PLN/km</t>
  </si>
  <si>
    <t>ENPV</t>
  </si>
  <si>
    <t>2.4.</t>
  </si>
  <si>
    <t>2.5.</t>
  </si>
  <si>
    <r>
      <t>PLN/tCO</t>
    </r>
    <r>
      <rPr>
        <vertAlign val="subscript"/>
        <sz val="9"/>
        <rFont val="Arial"/>
        <family val="2"/>
        <charset val="238"/>
      </rPr>
      <t>2</t>
    </r>
  </si>
  <si>
    <r>
      <t>Jednostkowy koszt CO</t>
    </r>
    <r>
      <rPr>
        <vertAlign val="subscript"/>
        <sz val="9"/>
        <rFont val="Arial"/>
        <family val="2"/>
        <charset val="238"/>
      </rPr>
      <t>2</t>
    </r>
  </si>
  <si>
    <r>
      <t>gCO</t>
    </r>
    <r>
      <rPr>
        <vertAlign val="sub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/KWh</t>
    </r>
  </si>
  <si>
    <t>Okres użytkowania baterii</t>
  </si>
  <si>
    <t>Koszty operacyjne, w tym:</t>
  </si>
  <si>
    <t>1.5.</t>
  </si>
  <si>
    <t>Liczba wozokilometrów</t>
  </si>
  <si>
    <t>Podsumowanie analizy wariantów</t>
  </si>
  <si>
    <t>zużycie materiałów i energii:</t>
  </si>
  <si>
    <t>inne</t>
  </si>
  <si>
    <t>Inwestycje rozwojowe i modernizacyjne</t>
  </si>
  <si>
    <t>FNPV/c</t>
  </si>
  <si>
    <t>FRR/c</t>
  </si>
  <si>
    <t>Wpływy</t>
  </si>
  <si>
    <t>Wypływy</t>
  </si>
  <si>
    <t>Przepływy Pieniężne netto</t>
  </si>
  <si>
    <t>Współczynnik dyskonta</t>
  </si>
  <si>
    <t>4.1.</t>
  </si>
  <si>
    <t>[-]</t>
  </si>
  <si>
    <t>ERR</t>
  </si>
  <si>
    <t>Przepływy finansowe</t>
  </si>
  <si>
    <t>Koszty operacyjne</t>
  </si>
  <si>
    <t>Wskaźniki korekty fiskalnej</t>
  </si>
  <si>
    <t>Wskaźnik korekty kosztów operacyjnych</t>
  </si>
  <si>
    <t>Przepływy finansowe skorygowane</t>
  </si>
  <si>
    <t>Korzyści i koszty ekonomiczne</t>
  </si>
  <si>
    <t>Wartość efektów zewnętrznych z tytułu zmian klimatycznych</t>
  </si>
  <si>
    <t>Wartość efektów zewnętrznych z tytułu zmian hałasu</t>
  </si>
  <si>
    <t>Wartość efektów zewnętrznych z tytułu zmian zanieczyszczenia powietrza</t>
  </si>
  <si>
    <t>4.2.</t>
  </si>
  <si>
    <t>4.3.</t>
  </si>
  <si>
    <t>Przepływy ekonomiczne netto Projektu</t>
  </si>
  <si>
    <t>Ekonomiczna stopa dyskontowa</t>
  </si>
  <si>
    <t>Zdyskontowane ekonomiczne przepływy netto Projektu</t>
  </si>
  <si>
    <t>Korzyści ekonomiczne netto</t>
  </si>
  <si>
    <t>Koszty ekonomiczne netto</t>
  </si>
  <si>
    <t>5.1.</t>
  </si>
  <si>
    <t>5.2.</t>
  </si>
  <si>
    <t>6.1.</t>
  </si>
  <si>
    <t>Skorygowane koszty finansowe netto Projektu</t>
  </si>
  <si>
    <t>5.3.</t>
  </si>
  <si>
    <t>5.4.</t>
  </si>
  <si>
    <t>Dynamika PKB per capita</t>
  </si>
  <si>
    <t>ZAŁOŻENIA MAKROEKONOMICZNE, WSKAŹNIKI LOKALNE</t>
  </si>
  <si>
    <t>ŻRÓDŁO / UWAGI</t>
  </si>
  <si>
    <t>Skrót używany w arkuszach</t>
  </si>
  <si>
    <t>Vademecum CUPT</t>
  </si>
  <si>
    <t>Wskaźniki CUPT</t>
  </si>
  <si>
    <t>Niebieska Księga</t>
  </si>
  <si>
    <t>wzkm</t>
  </si>
  <si>
    <r>
      <t>NO</t>
    </r>
    <r>
      <rPr>
        <vertAlign val="subscript"/>
        <sz val="9"/>
        <rFont val="Arial"/>
        <family val="2"/>
        <charset val="238"/>
      </rPr>
      <t>x</t>
    </r>
  </si>
  <si>
    <t>NMVOC</t>
  </si>
  <si>
    <r>
      <t>SO</t>
    </r>
    <r>
      <rPr>
        <vertAlign val="subscript"/>
        <sz val="9"/>
        <rFont val="Arial"/>
        <family val="2"/>
        <charset val="238"/>
      </rPr>
      <t>2</t>
    </r>
  </si>
  <si>
    <t>PM2.5 obszar miejski</t>
  </si>
  <si>
    <t>PM2.5 obszar pozamiejski</t>
  </si>
  <si>
    <r>
      <t>Wskaźniki dot. emisji CO</t>
    </r>
    <r>
      <rPr>
        <vertAlign val="subscript"/>
        <sz val="9"/>
        <rFont val="Arial"/>
        <family val="2"/>
        <charset val="238"/>
      </rPr>
      <t>2</t>
    </r>
  </si>
  <si>
    <t>JEDNOSTKA</t>
  </si>
  <si>
    <t>PLN/tona emisji</t>
  </si>
  <si>
    <t>LP.</t>
  </si>
  <si>
    <t>MARKA</t>
  </si>
  <si>
    <t>NORMA EURO</t>
  </si>
  <si>
    <t>TYP</t>
  </si>
  <si>
    <t>ROK PRODUKCJI</t>
  </si>
  <si>
    <t xml:space="preserve">WSKAŹNIKI EKSPLOATACYJNE </t>
  </si>
  <si>
    <t>wzkm/rok</t>
  </si>
  <si>
    <t>PLN/l</t>
  </si>
  <si>
    <t>PLN/KWh</t>
  </si>
  <si>
    <t>PLN/szt</t>
  </si>
  <si>
    <t>g/km</t>
  </si>
  <si>
    <t>Wskaźnik produkcji energii u źródła dla silników elektrycznych</t>
  </si>
  <si>
    <t>współczynnik energii wyprodukowanej do wykorzystanej</t>
  </si>
  <si>
    <t>WSKAŹNIKI I ZAŁOŻENIA METODYCZNE DO ANALIZY AKK</t>
  </si>
  <si>
    <t>PLN/wzkm</t>
  </si>
  <si>
    <t>dzień</t>
  </si>
  <si>
    <t>noc</t>
  </si>
  <si>
    <t>średnio</t>
  </si>
  <si>
    <t>Koszty hałasu w transporcie drogowym dla autobusu w terenie miejskim</t>
  </si>
  <si>
    <t>rok</t>
  </si>
  <si>
    <t>ubezpieczenia autobusów</t>
  </si>
  <si>
    <r>
      <t>Jednostkowy koszt CO</t>
    </r>
    <r>
      <rPr>
        <vertAlign val="subscript"/>
        <sz val="9"/>
        <rFont val="Times New Roman"/>
        <family val="1"/>
        <charset val="238"/>
      </rPr>
      <t>2</t>
    </r>
  </si>
  <si>
    <r>
      <t>PLN/tCO</t>
    </r>
    <r>
      <rPr>
        <vertAlign val="subscript"/>
        <sz val="9"/>
        <rFont val="Times New Roman"/>
        <family val="1"/>
        <charset val="238"/>
      </rPr>
      <t>2</t>
    </r>
  </si>
  <si>
    <t>Skutki zmian klimatycznych:</t>
  </si>
  <si>
    <t>Skutki zanieczyszczenia powietrza:</t>
  </si>
  <si>
    <t>2.1.3.</t>
  </si>
  <si>
    <t>Skutki emisji hałasu:</t>
  </si>
  <si>
    <t>Jednostkowy koszt hałasu uśredniony</t>
  </si>
  <si>
    <t>Koszt społeczny emisji hałasu</t>
  </si>
  <si>
    <t>Stawka amortyzacji infrastruktury elektro-energetycznej</t>
  </si>
  <si>
    <t>Zestawienie własnego taboru z podziałem na rodzaj</t>
  </si>
  <si>
    <t>Vademecum CUPT, str. 27</t>
  </si>
  <si>
    <t>SO2</t>
  </si>
  <si>
    <t>Lp.</t>
  </si>
  <si>
    <r>
      <t>kgCO</t>
    </r>
    <r>
      <rPr>
        <vertAlign val="sub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/l oleju</t>
    </r>
  </si>
  <si>
    <t>Zmiany kosztów eksploatacyjnych (średniorocznie przez okres analizy)</t>
  </si>
  <si>
    <t>zł/rok</t>
  </si>
  <si>
    <r>
      <t>kgCO</t>
    </r>
    <r>
      <rPr>
        <vertAlign val="subscript"/>
        <sz val="9"/>
        <rFont val="Times New Roman"/>
        <family val="1"/>
        <charset val="238"/>
      </rPr>
      <t>2</t>
    </r>
    <r>
      <rPr>
        <sz val="9"/>
        <rFont val="Times New Roman"/>
        <family val="1"/>
        <charset val="238"/>
      </rPr>
      <t>/l</t>
    </r>
  </si>
  <si>
    <t>Niebieska Księga Drogi</t>
  </si>
  <si>
    <t>Habrat B., Jasiński T. Badanie zmian emisji hałasu drogowego w sieci drogowej. Praca dyplomowa magisterska (promotor: J. Bohatkiewicz). Politechnika Krakowska, 2011</t>
  </si>
  <si>
    <t>Rok bazowy analizy</t>
  </si>
  <si>
    <t>Ostatni rok analizy</t>
  </si>
  <si>
    <t>Faza realizacyjna</t>
  </si>
  <si>
    <t>Okres liczenia wartości rezydualnej</t>
  </si>
  <si>
    <t>Przepływy pieniężne netto</t>
  </si>
  <si>
    <t>Zdyskontowane przepływy pieniężne netto</t>
  </si>
  <si>
    <t>NPV (wartość rezydualna)</t>
  </si>
  <si>
    <t>Zdyskontowane przepływy ekonomiczne netto</t>
  </si>
  <si>
    <t>Przepływy ekonomiczne netto</t>
  </si>
  <si>
    <t>Emisja NOx</t>
  </si>
  <si>
    <t>Emisja PM</t>
  </si>
  <si>
    <t>NMHC/NMVOC</t>
  </si>
  <si>
    <t>Emisja NMHC/NMVOC</t>
  </si>
  <si>
    <t>MJ/l</t>
  </si>
  <si>
    <t>1 kWh</t>
  </si>
  <si>
    <t>=</t>
  </si>
  <si>
    <t>MJ</t>
  </si>
  <si>
    <t>kWh/l</t>
  </si>
  <si>
    <t>l/100km</t>
  </si>
  <si>
    <t>Nox</t>
  </si>
  <si>
    <t>g/kWh</t>
  </si>
  <si>
    <t>Wskaźnik korekty nakładów inwestycyjnych - infrastruktura</t>
  </si>
  <si>
    <t>Wskaźnik korekty nakładów inwestycyjnych - tabor</t>
  </si>
  <si>
    <t>Vademecum CUPT, str. 28</t>
  </si>
  <si>
    <t>Diesel E6</t>
  </si>
  <si>
    <t>Udziały nakładów inwestycyjnych</t>
  </si>
  <si>
    <t>średniorocznie</t>
  </si>
  <si>
    <t>The carbon footprint of projects financed by the bank, EBI</t>
  </si>
  <si>
    <t>KOSZTY UBEZPIECZENIA TABORU</t>
  </si>
  <si>
    <t xml:space="preserve">średnioroczne straty energii w sieciach 110 kV </t>
  </si>
  <si>
    <t>średnioroczne straty energii w sieciach średniego napięcia</t>
  </si>
  <si>
    <t xml:space="preserve">straty ładowarki </t>
  </si>
  <si>
    <t>straty całkowite</t>
  </si>
  <si>
    <t>3.5.</t>
  </si>
  <si>
    <t>Rok rozpoczęcia analizy</t>
  </si>
  <si>
    <t>Rok zakończenia analizy</t>
  </si>
  <si>
    <t>ON</t>
  </si>
  <si>
    <t xml:space="preserve">amortyzacja </t>
  </si>
  <si>
    <t>paliwo</t>
  </si>
  <si>
    <t>energia</t>
  </si>
  <si>
    <t>ogumienie</t>
  </si>
  <si>
    <t>części zamienne</t>
  </si>
  <si>
    <t>ubezpieczenie</t>
  </si>
  <si>
    <t>udział energii z sieci energ wg miksu energ.</t>
  </si>
  <si>
    <t>EMISJA - OBECNY TABOR</t>
  </si>
  <si>
    <t>Praca eksploatacyjna:</t>
  </si>
  <si>
    <t>Autobusy:</t>
  </si>
  <si>
    <r>
      <t>tCO</t>
    </r>
    <r>
      <rPr>
        <vertAlign val="subscript"/>
        <sz val="9"/>
        <rFont val="Times New Roman"/>
        <family val="1"/>
        <charset val="238"/>
      </rPr>
      <t>2</t>
    </r>
  </si>
  <si>
    <t>tNOx</t>
  </si>
  <si>
    <t>tPM</t>
  </si>
  <si>
    <t>EFEKTY ZEWNĘTRZNE</t>
  </si>
  <si>
    <t>autobusy</t>
  </si>
  <si>
    <t>infrastruktura</t>
  </si>
  <si>
    <t>Inwestycje odtworzeniowe</t>
  </si>
  <si>
    <t>EFEKTYWNOŚĆ FINANSOWA</t>
  </si>
  <si>
    <t>EURO2</t>
  </si>
  <si>
    <t>EURO3</t>
  </si>
  <si>
    <t>EURO6</t>
  </si>
  <si>
    <r>
      <t>Ilość CO</t>
    </r>
    <r>
      <rPr>
        <vertAlign val="subscript"/>
        <sz val="9"/>
        <rFont val="Arial"/>
        <family val="2"/>
        <charset val="238"/>
      </rPr>
      <t xml:space="preserve">2, </t>
    </r>
    <r>
      <rPr>
        <sz val="9"/>
        <rFont val="Arial"/>
        <family val="2"/>
        <charset val="238"/>
      </rPr>
      <t>w tym:</t>
    </r>
  </si>
  <si>
    <t>Maksymalny czas użytkowania infrastruktury</t>
  </si>
  <si>
    <t>PLAN INWESTYCYJNY</t>
  </si>
  <si>
    <t>autobusy elektryczne</t>
  </si>
  <si>
    <t>Autobusy elektryczne</t>
  </si>
  <si>
    <t>Kalkulator emisji CUPT</t>
  </si>
  <si>
    <t>tony</t>
  </si>
  <si>
    <t>w okresie analizy</t>
  </si>
  <si>
    <t>Emisja NMVOC</t>
  </si>
  <si>
    <r>
      <t>Emisja CO</t>
    </r>
    <r>
      <rPr>
        <vertAlign val="subscript"/>
        <sz val="9"/>
        <rFont val="Arial"/>
        <family val="2"/>
        <charset val="238"/>
      </rPr>
      <t>2</t>
    </r>
  </si>
  <si>
    <t>PLN/t</t>
  </si>
  <si>
    <t>średnioroczna</t>
  </si>
  <si>
    <t>suma</t>
  </si>
  <si>
    <r>
      <t>CO</t>
    </r>
    <r>
      <rPr>
        <vertAlign val="subscript"/>
        <sz val="8"/>
        <color theme="0"/>
        <rFont val="Arial"/>
        <family val="2"/>
        <charset val="238"/>
      </rPr>
      <t>2</t>
    </r>
  </si>
  <si>
    <t>Tony</t>
  </si>
  <si>
    <t>Jednostka</t>
  </si>
  <si>
    <t>Efekty zewnętrzne - wartość zdyskontowana</t>
  </si>
  <si>
    <t>PLN/rok</t>
  </si>
  <si>
    <t>Maksymalny czas użytkowania autobusu elektrycznego</t>
  </si>
  <si>
    <t>wymiana baterii</t>
  </si>
  <si>
    <t xml:space="preserve">EFEKTYWNOŚĆ EKONOMICZNA </t>
  </si>
  <si>
    <t>t NMVOC</t>
  </si>
  <si>
    <t>Zanieczyszczenie środowiska - emisja lokalna - wartość zdyskontowana</t>
  </si>
  <si>
    <t>TABELA 1.</t>
  </si>
  <si>
    <t>TABELA 4.</t>
  </si>
  <si>
    <t>TABELA 5.</t>
  </si>
  <si>
    <t>TABELA 6.</t>
  </si>
  <si>
    <t>TABELA 7.</t>
  </si>
  <si>
    <t>Tabela 8.</t>
  </si>
  <si>
    <t>Liczba poddanych kasacji</t>
  </si>
  <si>
    <t>dane lokalne</t>
  </si>
  <si>
    <t>Żywotność baterii pokładowej w autobusie elektrycznym</t>
  </si>
  <si>
    <t>Maksymalny czas użytkowania infrastruktury elektro-energetycznej</t>
  </si>
  <si>
    <t>Koszty inwestycyjne w odniesienu do wariantu porównawczego, razem</t>
  </si>
  <si>
    <t>uCIT</t>
  </si>
  <si>
    <t>Normy emisji autobusów ON:</t>
  </si>
  <si>
    <t>Liczba posiadanych autobusów na koniec roku, w tym:</t>
  </si>
  <si>
    <t>Wskaźnik emisji CO2 przez silnik ON</t>
  </si>
  <si>
    <t>Wartość energetyczna ON</t>
  </si>
  <si>
    <t>założenia własne na podstawie przewidywanego okresu użytkowania</t>
  </si>
  <si>
    <t>Nazwa dokumentu, źródła, instytucji</t>
  </si>
  <si>
    <t>Ustawa o podatku dochodowym od osób prawnych z dnia 15 lutego 1992 r., jednolity tekst ustawy Dz.U. z 2014 r. poz. 851,
z późniejszymi zmianami.</t>
  </si>
  <si>
    <t>Założenie własne na podstawie informacji 
od producentów</t>
  </si>
  <si>
    <t>elektryczne</t>
  </si>
  <si>
    <t>mieszany</t>
  </si>
  <si>
    <t>Emisje substancji szkodliwych przez elektrownie węglowe i gazowe</t>
  </si>
  <si>
    <r>
      <t>Emisja CO</t>
    </r>
    <r>
      <rPr>
        <vertAlign val="sub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przy produkcji energii elektr. - system energ.</t>
    </r>
  </si>
  <si>
    <t>RODZAJ NAPĘDU</t>
  </si>
  <si>
    <t>Cena oleju napędowego</t>
  </si>
  <si>
    <t>Cena energii elektrycznej</t>
  </si>
  <si>
    <t xml:space="preserve">Praca eksploatacyjna </t>
  </si>
  <si>
    <t>PLAN PRACY EKSPLOATACYJNEJ</t>
  </si>
  <si>
    <t>Tabela 9.</t>
  </si>
  <si>
    <t>części, materiały eksploatacyjne i inne</t>
  </si>
  <si>
    <t>KOSZTY BEZPOŚREDNIE EKSPLOATACJI AUTOBUSÓW</t>
  </si>
  <si>
    <t>energia, w tym:</t>
  </si>
  <si>
    <t xml:space="preserve"> Wartość rezydualna</t>
  </si>
  <si>
    <t xml:space="preserve"> Koszty operacyjne bez amortyzacji</t>
  </si>
  <si>
    <t xml:space="preserve"> Inwestycje</t>
  </si>
  <si>
    <t xml:space="preserve"> autobusy</t>
  </si>
  <si>
    <t xml:space="preserve"> infrastruktura</t>
  </si>
  <si>
    <t xml:space="preserve"> Odtworzenia</t>
  </si>
  <si>
    <t>Bezpośrednie koszty eksploatacji autobusu (zużycie materiałów)</t>
  </si>
  <si>
    <t>Bezpośrednie koszty eksploatacji autobusu (usługi obce)</t>
  </si>
  <si>
    <r>
      <t>CO</t>
    </r>
    <r>
      <rPr>
        <vertAlign val="subscript"/>
        <sz val="9"/>
        <color theme="0"/>
        <rFont val="Arial"/>
        <family val="2"/>
        <charset val="238"/>
      </rPr>
      <t>2</t>
    </r>
  </si>
  <si>
    <t>Koszty eksploatacji infrastrukury:</t>
  </si>
  <si>
    <t>Koszt serwisu stacji ładowania na zajezdni</t>
  </si>
  <si>
    <t>Koszt serwisu stacji ładowania na pętlach</t>
  </si>
  <si>
    <t>Redukcja hałasu</t>
  </si>
  <si>
    <t>Infrastruktura + pozostałe koszty</t>
  </si>
  <si>
    <t>Zestawienie</t>
  </si>
  <si>
    <r>
      <t xml:space="preserve"> </t>
    </r>
    <r>
      <rPr>
        <i/>
        <sz val="9"/>
        <rFont val="Arial"/>
        <family val="2"/>
        <charset val="238"/>
      </rPr>
      <t>indeksacja o 0,8 prognozy dynamiki PKB per capita</t>
    </r>
  </si>
  <si>
    <t>WARIANT Tabor konwencjonalny</t>
  </si>
  <si>
    <r>
      <t>tCO</t>
    </r>
    <r>
      <rPr>
        <vertAlign val="subscript"/>
        <sz val="9"/>
        <rFont val="Times New Roman"/>
        <family val="1"/>
        <charset val="238"/>
      </rPr>
      <t>3</t>
    </r>
    <r>
      <rPr>
        <sz val="11"/>
        <color theme="1"/>
        <rFont val="Calibri"/>
        <family val="2"/>
        <charset val="238"/>
        <scheme val="minor"/>
      </rPr>
      <t/>
    </r>
  </si>
  <si>
    <t>%/ rok</t>
  </si>
  <si>
    <t>średnia wieku autobusów w danym roku</t>
  </si>
  <si>
    <t>założenia własne na podstawie danych rynkowych</t>
  </si>
  <si>
    <t>Przychody</t>
  </si>
  <si>
    <t xml:space="preserve"> Przychody</t>
  </si>
  <si>
    <t>POPYT NA USŁUGI TRANSPORTOWE</t>
  </si>
  <si>
    <t>Przychody z biletów</t>
  </si>
  <si>
    <t>Wariant 1</t>
  </si>
  <si>
    <t>Wariant 2</t>
  </si>
  <si>
    <t>CNG</t>
  </si>
  <si>
    <t>EURO1</t>
  </si>
  <si>
    <t>EURO4</t>
  </si>
  <si>
    <t>RAZEM</t>
  </si>
  <si>
    <t>ELEKTRYCZNE</t>
  </si>
  <si>
    <t>ON:</t>
  </si>
  <si>
    <t>ELEKTRYCZNY</t>
  </si>
  <si>
    <t>Liczba zakupionych</t>
  </si>
  <si>
    <t>Liczba zakupionych autobusów</t>
  </si>
  <si>
    <t>narzuty na wynagrodzenia</t>
  </si>
  <si>
    <t>pozostałe materiały</t>
  </si>
  <si>
    <t>pozostałe koszty</t>
  </si>
  <si>
    <t>2.1.2.1.</t>
  </si>
  <si>
    <t>autobusy ON</t>
  </si>
  <si>
    <t>Wskaźnik emisji CO2 dla ON</t>
  </si>
  <si>
    <t>Liczba przewiezionych pasażerów i przychody z biletów</t>
  </si>
  <si>
    <t>[mln zł]</t>
  </si>
  <si>
    <t>[mln wzkm]</t>
  </si>
  <si>
    <t>Praca eksploatacyjna - Plan</t>
  </si>
  <si>
    <t>Koszt zakupu autobusów</t>
  </si>
  <si>
    <t>Plan zakupów</t>
  </si>
  <si>
    <t>Koszt zakupu</t>
  </si>
  <si>
    <t>cena jedn. netto</t>
  </si>
  <si>
    <t>Typ</t>
  </si>
  <si>
    <t>Wymiana baterii</t>
  </si>
  <si>
    <t>Wymaina baterii</t>
  </si>
  <si>
    <t>Liczba stacji ładowania szybkiego</t>
  </si>
  <si>
    <t>Liczba stacji ładowania na zajezdni</t>
  </si>
  <si>
    <t>zł/rok/szt</t>
  </si>
  <si>
    <t>Koszt serwisu stacji szybkiego ładowania</t>
  </si>
  <si>
    <t xml:space="preserve">Kalkulacja dla scenariusza bazowego </t>
  </si>
  <si>
    <t>EURO6 hybryda</t>
  </si>
  <si>
    <t>Stawka amortyzacji budynków i budowli</t>
  </si>
  <si>
    <t>Stawka amortyzacji autobusów elektrycznych</t>
  </si>
  <si>
    <t>nie dotyczy</t>
  </si>
  <si>
    <t>Scenariusz BAZOWY</t>
  </si>
  <si>
    <t>Scenariusz porównawczy</t>
  </si>
  <si>
    <t>EURO5</t>
  </si>
  <si>
    <t>UWAGA</t>
  </si>
  <si>
    <t>Scenariusz porównawczy (bazowy)</t>
  </si>
  <si>
    <t>Koszty bezpośrednie</t>
  </si>
  <si>
    <t>A.</t>
  </si>
  <si>
    <t>B.</t>
  </si>
  <si>
    <t>SPALANIE - TABOR</t>
  </si>
  <si>
    <t>Liczba pasażerów</t>
  </si>
  <si>
    <t>Serwis butli gazowych</t>
  </si>
  <si>
    <t>Niebieska Księga. Nowa edycja. Sektor Transportu Publicznego w miastach, aglomeracjach, regionach, Inicjatywa JASPERS, sierpień 2015 r.</t>
  </si>
  <si>
    <r>
      <t>Wskaźnik emisji CO</t>
    </r>
    <r>
      <rPr>
        <vertAlign val="sub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przez silnik ON</t>
    </r>
  </si>
  <si>
    <t>Kalkulacja wartości rezydualnej metodą dochodową - dla analizy ekonomicznej</t>
  </si>
  <si>
    <t>Kalkulacja wartości rezydualnej metodą dochodową - dla analizy finansowej</t>
  </si>
  <si>
    <t>Lata</t>
  </si>
  <si>
    <r>
      <t>Zmiany klimatyczne - emisja CO</t>
    </r>
    <r>
      <rPr>
        <vertAlign val="sub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wartość zdyskontowana</t>
    </r>
  </si>
  <si>
    <t>EURO I</t>
  </si>
  <si>
    <t>EURO II</t>
  </si>
  <si>
    <t>EURO III</t>
  </si>
  <si>
    <t>EURO IV</t>
  </si>
  <si>
    <t>EURO V</t>
  </si>
  <si>
    <t>Redukcja hałasu - nowy autobus ON EURO VI vs. autobus ON używany</t>
  </si>
  <si>
    <t>EURO VI</t>
  </si>
  <si>
    <t>Stawka amortyzacji autobusów ON EURO VI</t>
  </si>
  <si>
    <t>Autobusy ON EURO VI</t>
  </si>
  <si>
    <t>Autobusy ON EURO I - EURO V</t>
  </si>
  <si>
    <t>Redukcja hałasu - autobus elektryczny vs. autobus ON</t>
  </si>
  <si>
    <t>Wzrost kosztów eksploatacji (remonty, zużycie materiałów) w odniesieniu do średniego wieku autobusów</t>
  </si>
  <si>
    <t>Wariant konwencjonalny</t>
  </si>
  <si>
    <t>świadczenia na rzecz pracowników</t>
  </si>
  <si>
    <t>dane producentów</t>
  </si>
  <si>
    <t>Kalkulacja dla wariantu konwencjonalnego</t>
  </si>
  <si>
    <t>[tys. osób]</t>
  </si>
  <si>
    <t>Redukcja hałasu - nowy autobus ON hybrydowy EURO VI vs. autobus ON używany</t>
  </si>
  <si>
    <t>remonty</t>
  </si>
  <si>
    <t>Koszty wydziałowe i ogólnozakładowe</t>
  </si>
  <si>
    <t>ubezpieczenie OC + AC</t>
  </si>
  <si>
    <t>Współczynnik kosztów eksploatacji nowych autobusów w stosunku do autobusów używanych (materiały i usługi obce)</t>
  </si>
  <si>
    <t>2.6.</t>
  </si>
  <si>
    <t>2.6.1.</t>
  </si>
  <si>
    <t>2.6.2.</t>
  </si>
  <si>
    <t>nie istnieje</t>
  </si>
  <si>
    <t>Średnia emisja CO2 przy produkcji energii elektr.</t>
  </si>
  <si>
    <t>założenia własne na podstawie doświadczeń eksploatacyjnych</t>
  </si>
  <si>
    <t>Autobusy z wyposażeniem (wartość różnicowa w stosunku do scenariusza bazowego)</t>
  </si>
  <si>
    <t>Kalkulacja dla wariantu elektrycznego</t>
  </si>
  <si>
    <t>Hybryda EURO V</t>
  </si>
  <si>
    <t>Hybryda EURO VI</t>
  </si>
  <si>
    <t>autobusy ON hybryda</t>
  </si>
  <si>
    <t>Elektryczny</t>
  </si>
  <si>
    <t>założenia włsne na podstawie dane operatorów</t>
  </si>
  <si>
    <t>Cena wodoru</t>
  </si>
  <si>
    <t>kg/100 km</t>
  </si>
  <si>
    <t>dane LOTOS</t>
  </si>
  <si>
    <t>zł/kg</t>
  </si>
  <si>
    <t>założenia własne</t>
  </si>
  <si>
    <t>średnie spalanie nowego autobusu wodorowego 12 m</t>
  </si>
  <si>
    <t>wzkm/pojazd</t>
  </si>
  <si>
    <t>WARIANT 2. Tabor elektryczny</t>
  </si>
  <si>
    <t>na podstawie danych kosztowych</t>
  </si>
  <si>
    <t>Pojazdy z silnikiem elektrycznym</t>
  </si>
  <si>
    <r>
      <t xml:space="preserve">KOSZTY OPERACYJNE - </t>
    </r>
    <r>
      <rPr>
        <i/>
        <sz val="9"/>
        <color theme="0"/>
        <rFont val="Arial"/>
        <family val="2"/>
      </rPr>
      <t>dane prognozowane.</t>
    </r>
  </si>
  <si>
    <t>https://www.cupt.gov.pl/index.php?option=com_content&amp;view=article&amp;id=692&amp;Itemid=411 
Pobranie z dnia 04-01-2022</t>
  </si>
  <si>
    <r>
      <t>Zużycie paliwa 
ON : l/100 km
CNG m</t>
    </r>
    <r>
      <rPr>
        <b/>
        <vertAlign val="superscript"/>
        <sz val="9"/>
        <color theme="0"/>
        <rFont val="Arial"/>
        <family val="2"/>
        <charset val="238"/>
      </rPr>
      <t>3</t>
    </r>
    <r>
      <rPr>
        <b/>
        <sz val="9"/>
        <color theme="0"/>
        <rFont val="Arial"/>
        <family val="2"/>
        <charset val="238"/>
      </rPr>
      <t>/100km
ELKTR  KWh/km</t>
    </r>
  </si>
  <si>
    <t>Średnie zużycie energii autobusu z silnikiem elektr. 18 m</t>
  </si>
  <si>
    <t>Średnie zużycie energii autobusu z silnikiem elektr. 10 m</t>
  </si>
  <si>
    <t>obliczenia na podstawie danych różnych operatorów</t>
  </si>
  <si>
    <t>Maksymalny czas użytkowania nowych autobusów ON EURO VI</t>
  </si>
  <si>
    <t>Maksymalny czas użytkowania autobusów używanych ON EURO VI</t>
  </si>
  <si>
    <t>Maxi</t>
  </si>
  <si>
    <t>rodzaj autobusu - Maxi</t>
  </si>
  <si>
    <t>PKS Grodzisk Mazowiecki</t>
  </si>
  <si>
    <t>Gmina Miasto Pruszków</t>
  </si>
  <si>
    <t>MIDI</t>
  </si>
  <si>
    <t>MAXI</t>
  </si>
  <si>
    <t>MINI</t>
  </si>
  <si>
    <t>12 m ON używany</t>
  </si>
  <si>
    <t>12 m</t>
  </si>
  <si>
    <t>12 m ON nowy</t>
  </si>
  <si>
    <t>Koszt zakupu używanego autobusu 8-9 m ON</t>
  </si>
  <si>
    <t>Koszt zakupu nowego autobusu 8-9 m ON</t>
  </si>
  <si>
    <t>Koszt zakupu nowego autobusu 12 m ON</t>
  </si>
  <si>
    <t>Koszt zakupu używanego autobusu 12 m ON</t>
  </si>
  <si>
    <t>Koszt zakupu autobusu 9-10 m elektrycznego</t>
  </si>
  <si>
    <t>Koszt wymiany baterii [250 kWh] - uwzględnia odsprzedaż baterii wymienianych</t>
  </si>
  <si>
    <t>ZESTAWIENIE FLOTY AUTOBUSOWEJ - stan wyjściowy</t>
  </si>
  <si>
    <t>AKK PRUSZKÓW grudzień 2023</t>
  </si>
  <si>
    <t>Średnia liczba wozokilometrów na autobus ON MINI</t>
  </si>
  <si>
    <t>Średnia liczba wozokilometrów na autobus ELEKTRYCZNY MAXI</t>
  </si>
  <si>
    <t>Średnia liczba wozokilometrów na autobus ON MAXI</t>
  </si>
  <si>
    <t>Średnia liczba wozokilometrów na autobus ELEKTRYCZNY MIDI</t>
  </si>
  <si>
    <t>prognozowana w 2024 r. inflacja - projekcja NBP z 10.11.2023  źróło: https://nbp.pl/projekcja-inflacji-i-pkb-listopad-2023/</t>
  </si>
  <si>
    <t>Mega</t>
  </si>
  <si>
    <t>Wariant 1
konwencjonalny*</t>
  </si>
  <si>
    <t>Wariant 2
elektryczny**</t>
  </si>
  <si>
    <t>*konwencjonalny, w którym założono wprowadzenie do eksploatacji
nowych pojazdów spalinowych z silnikami Diesla oraz elektrycznych na
odtworzenie obecnie eksploatowanych</t>
  </si>
  <si>
    <t>**elektryczny, w którym założono wprowadzenie do eksploatacji
dodatkowych pięciu autobusów elektrycznych klasy midi z doładowaniem
baterii o dużej pojemności poprzez złącze plug-in.</t>
  </si>
  <si>
    <t>autobus ON</t>
  </si>
  <si>
    <t>autobus elektryczny</t>
  </si>
  <si>
    <t>Szacunek na podstawie danych podstawie struktury kosztów  za 2023 r. Dla roku bazowego, tj. 2024 przyjęto zindeskowane wartości o szacowany wskaźnik inflacji (na podstawie prognozy NBP z listopada 2023 r.)</t>
  </si>
  <si>
    <t>Wskaźniki CUPT maj 2023</t>
  </si>
  <si>
    <t>mini</t>
  </si>
  <si>
    <t>rodzaj autobusu - Mini</t>
  </si>
  <si>
    <t>Mini</t>
  </si>
  <si>
    <t>Wytyczne MFiPR</t>
  </si>
  <si>
    <t>Dane wyjściowe - Kalkulator emisji CUPT. Prognoza 
na podstawie Scenariusz Polityki energetyczno-klimatycznej (PEK). Ocena skutków planowanych polityk 
i środków. Załącznik 2. do Krajowego planu na rzecz energii 
i klimatu na lata 2021-2030</t>
  </si>
  <si>
    <t>Koszty emisji zanieczyszczeń w transporcie lądowym:</t>
  </si>
  <si>
    <t>Przyszły miks energetyczny Polski – determinanty, narzędzia 
i prognozy, Instrat - Fundacja Inicjatyw Strategicznych, grudzień 2019, scenariusz według Krajowego planu na rzecz energii i klimatu na lata 2021-2030</t>
  </si>
  <si>
    <t>Proces ładowania autobusów elektrycznych wiąże się 
ze stratami energii elektrycznej podczas jej przesyłu oraz dystrybucji ze źródła do stacji ładowania. Obliczenia własne</t>
  </si>
  <si>
    <t>cenę paliwa oszacowano na podstawie uzyskanych za 2023 r. danych nt kosztu zużycia paliwa na 1 km oraz danych odnośnie zużycia jednoskowego paliwa przez autobusy ON.</t>
  </si>
  <si>
    <t>cenę energii oszacowano na podstawie uzyskanych za 2023 r. danych nt kosztu zużycia energii na 1 km oraz danych odnośnie zużycia jednoskowego energii przez autobusy elektryczne.</t>
  </si>
  <si>
    <t>Współczynnik kosztów eksploatacji autobusów elektrycznych / wodorowych w stosunku do diesel (materiały i usługi obce)</t>
  </si>
  <si>
    <t>dane producentów, prognozy rynkowe - Bloomberg New Energy Finance (BNEF); bateria LTO 250 kWh, koszt 150 USD/KWh</t>
  </si>
  <si>
    <t>PLAN ILOŚCIOWY TABORU I PRACY EKSPLOATACYJNEJ</t>
  </si>
  <si>
    <t>Analiza kosztów i korzyści projektów transportowych współfinansowanych ze środków Unii Europejskiej, Vademecum Beneficjenta, CUPT , Warszawa 2016 r.</t>
  </si>
  <si>
    <t>Aktualizacja tablic kosztów jednostkowych do wykorzystania w analizach kosztów i korzyści; Wersja - aktualizacja maj 2023. CUPT, https://www.cupt.gov.pl/wdrazanie-projektow/analiza-kosztow-i-korzysci/narzedzia/tablice-kosztow-jednostkowych-do-wykorzystania-w-analizach-kosztow-i-korzysci
Pobranie z dnia 04-12-2023</t>
  </si>
  <si>
    <t>Niebieska Księga. Nowa edycja. Infrastruktura Drogowa, Inicjatywa JASPERS, sierpień 2015 r.</t>
  </si>
  <si>
    <t>8 - 9 m</t>
  </si>
  <si>
    <t>9 - 10 m</t>
  </si>
  <si>
    <t>liczba stacji istniejacych</t>
  </si>
  <si>
    <t>ZAZ A10C</t>
  </si>
  <si>
    <t>MAZ 203</t>
  </si>
  <si>
    <t>maxi</t>
  </si>
  <si>
    <t>Solaris Urbino 9 electric LE</t>
  </si>
  <si>
    <t>8-9 m ON używany</t>
  </si>
  <si>
    <t>8-9 m ON nowy</t>
  </si>
  <si>
    <t>9-10 m elektryczne</t>
  </si>
  <si>
    <t>Wytyczne Ministra Funduszy i Polityki Regionalnej dotyczące zagadnień związanych z przygotowaniem projektów inwestycyjnych, w tym hybrydowych na lata 2021-2027, Warszawa 5 marca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</si>
</sst>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0.000"/>
    <numFmt numFmtId="166" formatCode="#,##0.000"/>
    <numFmt numFmtId="167" formatCode="0.0%"/>
    <numFmt numFmtId="168" formatCode="0.0;0.0;&quot;&quot;"/>
    <numFmt numFmtId="169" formatCode="#,##0.0"/>
    <numFmt numFmtId="170" formatCode="&quot;&quot;;&quot;&quot;;&quot;&quot;"/>
    <numFmt numFmtId="171" formatCode="0.00000"/>
    <numFmt numFmtId="172" formatCode="0.0"/>
    <numFmt numFmtId="173" formatCode="0.00000%"/>
    <numFmt numFmtId="174" formatCode="#,##0.000000"/>
    <numFmt numFmtId="175" formatCode="0.0000"/>
    <numFmt numFmtId="176" formatCode="#,##0.00000"/>
    <numFmt numFmtId="177" formatCode="_-* #,##0.000\ _z_ł_-;\-* #,##0.000\ _z_ł_-;_-* &quot;-&quot;??\ _z_ł_-;_-@_-"/>
    <numFmt numFmtId="178" formatCode="#,##0.0000000000"/>
  </numFmts>
  <fonts count="8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  <font>
      <sz val="10"/>
      <name val="Arial CE"/>
      <charset val="238"/>
    </font>
    <font>
      <sz val="10"/>
      <name val="MS Sans Serif"/>
      <family val="2"/>
    </font>
    <font>
      <sz val="10"/>
      <name val="Arial"/>
      <family val="2"/>
    </font>
    <font>
      <sz val="10"/>
      <name val="Helv"/>
    </font>
    <font>
      <b/>
      <sz val="9"/>
      <color indexed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22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color indexed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color indexed="9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9"/>
      <name val="Times New Roman"/>
      <family val="1"/>
      <charset val="238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u/>
      <sz val="10"/>
      <name val="Arial"/>
      <family val="2"/>
    </font>
    <font>
      <sz val="10"/>
      <color theme="0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vertAlign val="subscript"/>
      <sz val="9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bscript"/>
      <sz val="9"/>
      <name val="Times New Roman"/>
      <family val="1"/>
      <charset val="238"/>
    </font>
    <font>
      <sz val="8"/>
      <color indexed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i/>
      <sz val="9"/>
      <color indexed="9"/>
      <name val="Arial"/>
      <family val="2"/>
      <charset val="238"/>
    </font>
    <font>
      <sz val="10"/>
      <name val="Arial CE"/>
    </font>
    <font>
      <sz val="9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9"/>
      <color theme="4"/>
      <name val="Arial"/>
      <family val="2"/>
      <charset val="238"/>
    </font>
    <font>
      <vertAlign val="subscript"/>
      <sz val="8"/>
      <color theme="0"/>
      <name val="Arial"/>
      <family val="2"/>
      <charset val="238"/>
    </font>
    <font>
      <sz val="9"/>
      <name val="Webdings"/>
      <family val="1"/>
      <charset val="238"/>
    </font>
    <font>
      <sz val="9"/>
      <color indexed="9"/>
      <name val="Arial"/>
      <family val="2"/>
      <charset val="238"/>
    </font>
    <font>
      <b/>
      <sz val="9"/>
      <color indexed="22"/>
      <name val="Arial"/>
      <family val="2"/>
      <charset val="238"/>
    </font>
    <font>
      <vertAlign val="subscript"/>
      <sz val="9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vertAlign val="superscript"/>
      <sz val="9"/>
      <color theme="0"/>
      <name val="Arial"/>
      <family val="2"/>
      <charset val="238"/>
    </font>
    <font>
      <sz val="9"/>
      <color theme="4" tint="-0.249977111117893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color rgb="FF000000"/>
      <name val="Tahoma"/>
      <family val="2"/>
      <charset val="238"/>
    </font>
    <font>
      <sz val="11"/>
      <color rgb="FF000000"/>
      <name val="Arial"/>
      <family val="2"/>
      <charset val="238"/>
    </font>
    <font>
      <i/>
      <sz val="9"/>
      <color theme="0"/>
      <name val="Arial"/>
      <family val="2"/>
    </font>
    <font>
      <b/>
      <sz val="9"/>
      <color rgb="FFFF0000"/>
      <name val="Calibri"/>
      <family val="2"/>
      <charset val="238"/>
      <scheme val="minor"/>
    </font>
    <font>
      <sz val="9"/>
      <color theme="0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9"/>
      <color theme="0" tint="-0.34998626667073579"/>
      <name val="Arial"/>
      <family val="2"/>
    </font>
    <font>
      <b/>
      <sz val="9"/>
      <name val="Tahoma"/>
      <family val="2"/>
      <charset val="238"/>
    </font>
    <font>
      <i/>
      <sz val="8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CADD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3D3D3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3">
    <xf numFmtId="0" fontId="0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7" fillId="2" borderId="1" applyNumberFormat="0" applyAlignment="0" applyProtection="0"/>
    <xf numFmtId="0" fontId="18" fillId="9" borderId="2" applyNumberFormat="0" applyAlignment="0" applyProtection="0"/>
    <xf numFmtId="164" fontId="4" fillId="0" borderId="0" applyFont="0" applyFill="0" applyBorder="0" applyAlignment="0" applyProtection="0"/>
    <xf numFmtId="0" fontId="19" fillId="0" borderId="3" applyNumberFormat="0" applyFill="0" applyAlignment="0" applyProtection="0"/>
    <xf numFmtId="0" fontId="20" fillId="10" borderId="4" applyNumberFormat="0" applyAlignment="0" applyProtection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4" fontId="9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170" fontId="6" fillId="0" borderId="0"/>
    <xf numFmtId="0" fontId="7" fillId="0" borderId="0"/>
    <xf numFmtId="0" fontId="24" fillId="9" borderId="1" applyNumberFormat="0" applyAlignment="0" applyProtection="0"/>
    <xf numFmtId="9" fontId="4" fillId="0" borderId="0" applyFont="0" applyFill="0" applyBorder="0" applyAlignment="0" applyProtection="0"/>
    <xf numFmtId="0" fontId="25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" fillId="11" borderId="9" applyNumberFormat="0" applyFon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45" fillId="0" borderId="0"/>
    <xf numFmtId="0" fontId="45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54" fillId="0" borderId="0" applyNumberFormat="0" applyFill="0" applyBorder="0" applyAlignment="0" applyProtection="0">
      <alignment vertical="top"/>
    </xf>
    <xf numFmtId="0" fontId="55" fillId="0" borderId="0"/>
    <xf numFmtId="0" fontId="56" fillId="0" borderId="0"/>
    <xf numFmtId="0" fontId="55" fillId="0" borderId="0"/>
    <xf numFmtId="9" fontId="56" fillId="0" borderId="0" applyFont="0" applyFill="0" applyBorder="0" applyAlignment="0" applyProtection="0"/>
    <xf numFmtId="0" fontId="3" fillId="0" borderId="0"/>
    <xf numFmtId="0" fontId="45" fillId="0" borderId="0"/>
    <xf numFmtId="0" fontId="2" fillId="0" borderId="0"/>
    <xf numFmtId="164" fontId="2" fillId="0" borderId="0" applyFont="0" applyFill="0" applyBorder="0" applyAlignment="0" applyProtection="0"/>
    <xf numFmtId="0" fontId="58" fillId="0" borderId="0"/>
    <xf numFmtId="0" fontId="69" fillId="0" borderId="0"/>
    <xf numFmtId="0" fontId="70" fillId="27" borderId="52">
      <alignment horizontal="left" vertical="center" wrapText="1"/>
    </xf>
    <xf numFmtId="0" fontId="6" fillId="0" borderId="0"/>
    <xf numFmtId="9" fontId="69" fillId="0" borderId="0" applyFont="0" applyFill="0" applyBorder="0" applyAlignment="0" applyProtection="0"/>
    <xf numFmtId="0" fontId="70" fillId="27" borderId="52">
      <alignment horizontal="left" vertical="center" wrapText="1"/>
    </xf>
  </cellStyleXfs>
  <cellXfs count="565">
    <xf numFmtId="0" fontId="0" fillId="0" borderId="0" xfId="0"/>
    <xf numFmtId="0" fontId="12" fillId="0" borderId="0" xfId="0" applyFont="1"/>
    <xf numFmtId="2" fontId="12" fillId="0" borderId="0" xfId="0" applyNumberFormat="1" applyFont="1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11" xfId="0" applyFont="1" applyBorder="1" applyAlignment="1">
      <alignment horizontal="center"/>
    </xf>
    <xf numFmtId="171" fontId="12" fillId="0" borderId="0" xfId="0" applyNumberFormat="1" applyFont="1"/>
    <xf numFmtId="1" fontId="12" fillId="0" borderId="1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3" fontId="12" fillId="0" borderId="0" xfId="0" applyNumberFormat="1" applyFont="1"/>
    <xf numFmtId="2" fontId="12" fillId="0" borderId="0" xfId="0" applyNumberFormat="1" applyFont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/>
    </xf>
    <xf numFmtId="0" fontId="12" fillId="12" borderId="0" xfId="0" applyFont="1" applyFill="1"/>
    <xf numFmtId="3" fontId="11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12" fillId="0" borderId="11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29" fillId="0" borderId="0" xfId="0" applyFont="1"/>
    <xf numFmtId="0" fontId="5" fillId="0" borderId="0" xfId="0" applyFont="1"/>
    <xf numFmtId="0" fontId="32" fillId="0" borderId="0" xfId="0" applyFont="1"/>
    <xf numFmtId="3" fontId="12" fillId="0" borderId="11" xfId="0" applyNumberFormat="1" applyFont="1" applyBorder="1"/>
    <xf numFmtId="3" fontId="30" fillId="0" borderId="0" xfId="0" applyNumberFormat="1" applyFont="1" applyAlignment="1">
      <alignment horizontal="right" vertical="center"/>
    </xf>
    <xf numFmtId="0" fontId="30" fillId="0" borderId="0" xfId="0" applyFont="1"/>
    <xf numFmtId="166" fontId="12" fillId="0" borderId="11" xfId="0" applyNumberFormat="1" applyFont="1" applyBorder="1" applyAlignment="1">
      <alignment horizontal="right" vertical="center"/>
    </xf>
    <xf numFmtId="10" fontId="12" fillId="0" borderId="11" xfId="25" applyNumberFormat="1" applyFont="1" applyFill="1" applyBorder="1" applyAlignment="1">
      <alignment horizontal="right" vertical="center"/>
    </xf>
    <xf numFmtId="10" fontId="12" fillId="0" borderId="0" xfId="25" applyNumberFormat="1" applyFont="1" applyFill="1" applyBorder="1" applyAlignment="1">
      <alignment horizontal="center" vertical="center"/>
    </xf>
    <xf numFmtId="4" fontId="12" fillId="0" borderId="11" xfId="0" applyNumberFormat="1" applyFont="1" applyBorder="1" applyAlignment="1">
      <alignment horizontal="right" vertical="center"/>
    </xf>
    <xf numFmtId="3" fontId="11" fillId="0" borderId="11" xfId="0" applyNumberFormat="1" applyFont="1" applyBorder="1"/>
    <xf numFmtId="0" fontId="10" fillId="0" borderId="0" xfId="0" applyFont="1" applyAlignment="1">
      <alignment horizontal="left"/>
    </xf>
    <xf numFmtId="4" fontId="12" fillId="0" borderId="0" xfId="0" applyNumberFormat="1" applyFont="1"/>
    <xf numFmtId="0" fontId="34" fillId="0" borderId="0" xfId="0" applyFont="1"/>
    <xf numFmtId="0" fontId="11" fillId="0" borderId="0" xfId="0" applyFont="1" applyAlignment="1">
      <alignment horizontal="right"/>
    </xf>
    <xf numFmtId="165" fontId="0" fillId="0" borderId="0" xfId="0" applyNumberFormat="1"/>
    <xf numFmtId="10" fontId="12" fillId="0" borderId="0" xfId="25" applyNumberFormat="1" applyFont="1" applyFill="1" applyBorder="1" applyAlignment="1">
      <alignment horizontal="center"/>
    </xf>
    <xf numFmtId="3" fontId="0" fillId="0" borderId="0" xfId="0" applyNumberFormat="1"/>
    <xf numFmtId="0" fontId="36" fillId="0" borderId="0" xfId="0" applyFont="1" applyAlignment="1">
      <alignment horizontal="right"/>
    </xf>
    <xf numFmtId="0" fontId="38" fillId="0" borderId="0" xfId="0" applyFont="1"/>
    <xf numFmtId="0" fontId="39" fillId="0" borderId="0" xfId="0" applyFont="1"/>
    <xf numFmtId="2" fontId="0" fillId="0" borderId="0" xfId="0" applyNumberFormat="1"/>
    <xf numFmtId="169" fontId="0" fillId="0" borderId="0" xfId="0" applyNumberFormat="1"/>
    <xf numFmtId="3" fontId="37" fillId="0" borderId="0" xfId="0" applyNumberFormat="1" applyFont="1"/>
    <xf numFmtId="167" fontId="41" fillId="0" borderId="0" xfId="25" applyNumberFormat="1" applyFont="1" applyFill="1" applyBorder="1"/>
    <xf numFmtId="167" fontId="0" fillId="0" borderId="0" xfId="0" applyNumberFormat="1"/>
    <xf numFmtId="9" fontId="0" fillId="0" borderId="0" xfId="0" applyNumberFormat="1"/>
    <xf numFmtId="0" fontId="42" fillId="0" borderId="0" xfId="0" applyFont="1" applyAlignment="1">
      <alignment vertical="top"/>
    </xf>
    <xf numFmtId="0" fontId="8" fillId="0" borderId="0" xfId="0" applyFont="1"/>
    <xf numFmtId="0" fontId="43" fillId="0" borderId="0" xfId="0" applyFont="1"/>
    <xf numFmtId="0" fontId="37" fillId="0" borderId="0" xfId="0" applyFont="1" applyAlignment="1">
      <alignment horizontal="center"/>
    </xf>
    <xf numFmtId="166" fontId="0" fillId="0" borderId="0" xfId="0" applyNumberFormat="1"/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/>
    </xf>
    <xf numFmtId="3" fontId="0" fillId="0" borderId="0" xfId="0" applyNumberFormat="1" applyProtection="1">
      <protection locked="0"/>
    </xf>
    <xf numFmtId="3" fontId="40" fillId="0" borderId="0" xfId="0" applyNumberFormat="1" applyFont="1" applyAlignment="1">
      <alignment horizontal="center"/>
    </xf>
    <xf numFmtId="2" fontId="8" fillId="0" borderId="0" xfId="0" applyNumberFormat="1" applyFont="1" applyProtection="1">
      <protection locked="0"/>
    </xf>
    <xf numFmtId="172" fontId="0" fillId="0" borderId="0" xfId="0" applyNumberFormat="1" applyProtection="1">
      <protection locked="0"/>
    </xf>
    <xf numFmtId="0" fontId="44" fillId="0" borderId="0" xfId="0" applyFont="1"/>
    <xf numFmtId="0" fontId="40" fillId="0" borderId="0" xfId="0" applyFont="1" applyAlignment="1">
      <alignment horizontal="center" vertical="center" wrapText="1"/>
    </xf>
    <xf numFmtId="3" fontId="29" fillId="0" borderId="0" xfId="0" applyNumberFormat="1" applyFont="1"/>
    <xf numFmtId="3" fontId="33" fillId="0" borderId="0" xfId="0" applyNumberFormat="1" applyFont="1"/>
    <xf numFmtId="0" fontId="37" fillId="0" borderId="0" xfId="0" applyFont="1" applyAlignment="1">
      <alignment vertical="center"/>
    </xf>
    <xf numFmtId="3" fontId="37" fillId="0" borderId="0" xfId="0" applyNumberFormat="1" applyFont="1" applyAlignment="1">
      <alignment vertical="center"/>
    </xf>
    <xf numFmtId="4" fontId="37" fillId="0" borderId="0" xfId="0" applyNumberFormat="1" applyFont="1" applyAlignment="1">
      <alignment vertical="center"/>
    </xf>
    <xf numFmtId="0" fontId="31" fillId="0" borderId="0" xfId="0" applyFont="1"/>
    <xf numFmtId="0" fontId="37" fillId="0" borderId="0" xfId="0" applyFont="1"/>
    <xf numFmtId="3" fontId="12" fillId="0" borderId="11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46" fillId="16" borderId="0" xfId="0" applyFont="1" applyFill="1"/>
    <xf numFmtId="1" fontId="10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right" vertical="center"/>
    </xf>
    <xf numFmtId="0" fontId="48" fillId="19" borderId="11" xfId="0" applyFont="1" applyFill="1" applyBorder="1" applyAlignment="1">
      <alignment horizontal="center"/>
    </xf>
    <xf numFmtId="1" fontId="48" fillId="19" borderId="11" xfId="0" applyNumberFormat="1" applyFont="1" applyFill="1" applyBorder="1" applyAlignment="1">
      <alignment horizontal="center" vertical="center"/>
    </xf>
    <xf numFmtId="0" fontId="10" fillId="19" borderId="11" xfId="0" applyFont="1" applyFill="1" applyBorder="1" applyAlignment="1">
      <alignment horizontal="left"/>
    </xf>
    <xf numFmtId="174" fontId="12" fillId="0" borderId="0" xfId="0" applyNumberFormat="1" applyFont="1"/>
    <xf numFmtId="4" fontId="49" fillId="0" borderId="0" xfId="0" applyNumberFormat="1" applyFont="1" applyAlignment="1">
      <alignment horizontal="right" vertical="center"/>
    </xf>
    <xf numFmtId="0" fontId="49" fillId="16" borderId="0" xfId="0" applyFont="1" applyFill="1"/>
    <xf numFmtId="0" fontId="12" fillId="0" borderId="0" xfId="0" applyFont="1" applyAlignment="1">
      <alignment horizontal="right"/>
    </xf>
    <xf numFmtId="0" fontId="12" fillId="0" borderId="11" xfId="0" applyFont="1" applyBorder="1"/>
    <xf numFmtId="0" fontId="49" fillId="19" borderId="0" xfId="0" applyFont="1" applyFill="1"/>
    <xf numFmtId="4" fontId="12" fillId="0" borderId="11" xfId="0" applyNumberFormat="1" applyFont="1" applyBorder="1"/>
    <xf numFmtId="0" fontId="12" fillId="0" borderId="0" xfId="0" applyFont="1" applyAlignment="1">
      <alignment wrapText="1"/>
    </xf>
    <xf numFmtId="0" fontId="49" fillId="19" borderId="0" xfId="0" applyFont="1" applyFill="1" applyAlignment="1">
      <alignment wrapText="1"/>
    </xf>
    <xf numFmtId="3" fontId="11" fillId="0" borderId="0" xfId="0" applyNumberFormat="1" applyFont="1"/>
    <xf numFmtId="164" fontId="12" fillId="0" borderId="0" xfId="9" applyFont="1"/>
    <xf numFmtId="0" fontId="5" fillId="18" borderId="11" xfId="0" applyFont="1" applyFill="1" applyBorder="1" applyAlignment="1">
      <alignment horizontal="center"/>
    </xf>
    <xf numFmtId="3" fontId="12" fillId="0" borderId="11" xfId="0" applyNumberFormat="1" applyFont="1" applyBorder="1" applyAlignment="1">
      <alignment horizontal="right"/>
    </xf>
    <xf numFmtId="3" fontId="11" fillId="0" borderId="11" xfId="0" applyNumberFormat="1" applyFont="1" applyBorder="1" applyAlignment="1">
      <alignment horizontal="right"/>
    </xf>
    <xf numFmtId="3" fontId="12" fillId="17" borderId="11" xfId="0" applyNumberFormat="1" applyFont="1" applyFill="1" applyBorder="1" applyAlignment="1">
      <alignment horizontal="left" vertical="center"/>
    </xf>
    <xf numFmtId="3" fontId="11" fillId="17" borderId="11" xfId="0" applyNumberFormat="1" applyFont="1" applyFill="1" applyBorder="1" applyAlignment="1">
      <alignment horizontal="left" vertical="center"/>
    </xf>
    <xf numFmtId="1" fontId="12" fillId="17" borderId="11" xfId="0" applyNumberFormat="1" applyFont="1" applyFill="1" applyBorder="1" applyAlignment="1">
      <alignment horizontal="left" vertical="center"/>
    </xf>
    <xf numFmtId="3" fontId="12" fillId="17" borderId="11" xfId="0" applyNumberFormat="1" applyFont="1" applyFill="1" applyBorder="1" applyAlignment="1">
      <alignment vertical="center" wrapText="1"/>
    </xf>
    <xf numFmtId="3" fontId="12" fillId="17" borderId="11" xfId="0" applyNumberFormat="1" applyFont="1" applyFill="1" applyBorder="1" applyAlignment="1">
      <alignment vertical="center"/>
    </xf>
    <xf numFmtId="3" fontId="12" fillId="0" borderId="0" xfId="0" applyNumberFormat="1" applyFont="1" applyAlignment="1">
      <alignment vertical="center"/>
    </xf>
    <xf numFmtId="3" fontId="11" fillId="20" borderId="11" xfId="0" applyNumberFormat="1" applyFont="1" applyFill="1" applyBorder="1" applyAlignment="1">
      <alignment horizontal="right" vertical="center"/>
    </xf>
    <xf numFmtId="1" fontId="48" fillId="22" borderId="11" xfId="0" applyNumberFormat="1" applyFont="1" applyFill="1" applyBorder="1" applyAlignment="1">
      <alignment horizontal="left" vertical="center"/>
    </xf>
    <xf numFmtId="1" fontId="11" fillId="17" borderId="11" xfId="0" applyNumberFormat="1" applyFont="1" applyFill="1" applyBorder="1" applyAlignment="1">
      <alignment horizontal="left" vertical="center"/>
    </xf>
    <xf numFmtId="10" fontId="30" fillId="0" borderId="0" xfId="25" applyNumberFormat="1" applyFont="1" applyFill="1" applyBorder="1" applyAlignment="1">
      <alignment horizontal="right" vertical="center"/>
    </xf>
    <xf numFmtId="173" fontId="30" fillId="0" borderId="0" xfId="25" applyNumberFormat="1" applyFont="1" applyFill="1" applyBorder="1" applyAlignment="1">
      <alignment horizontal="right" vertical="center"/>
    </xf>
    <xf numFmtId="10" fontId="47" fillId="0" borderId="0" xfId="25" applyNumberFormat="1" applyFont="1" applyFill="1" applyBorder="1" applyAlignment="1">
      <alignment horizontal="right" vertical="center"/>
    </xf>
    <xf numFmtId="1" fontId="48" fillId="0" borderId="0" xfId="0" applyNumberFormat="1" applyFont="1" applyAlignment="1">
      <alignment horizontal="left" vertical="center"/>
    </xf>
    <xf numFmtId="1" fontId="12" fillId="17" borderId="11" xfId="0" applyNumberFormat="1" applyFont="1" applyFill="1" applyBorder="1" applyAlignment="1">
      <alignment horizontal="left" vertical="center" wrapText="1"/>
    </xf>
    <xf numFmtId="3" fontId="11" fillId="20" borderId="11" xfId="0" applyNumberFormat="1" applyFont="1" applyFill="1" applyBorder="1" applyAlignment="1">
      <alignment horizontal="right"/>
    </xf>
    <xf numFmtId="4" fontId="47" fillId="22" borderId="14" xfId="25" applyNumberFormat="1" applyFont="1" applyFill="1" applyBorder="1" applyAlignment="1">
      <alignment horizontal="right" vertical="center"/>
    </xf>
    <xf numFmtId="4" fontId="12" fillId="0" borderId="0" xfId="25" applyNumberFormat="1" applyFont="1" applyFill="1" applyBorder="1" applyAlignment="1">
      <alignment horizontal="center"/>
    </xf>
    <xf numFmtId="0" fontId="12" fillId="24" borderId="11" xfId="0" applyFont="1" applyFill="1" applyBorder="1"/>
    <xf numFmtId="0" fontId="10" fillId="19" borderId="14" xfId="0" applyFont="1" applyFill="1" applyBorder="1" applyAlignment="1">
      <alignment horizontal="left"/>
    </xf>
    <xf numFmtId="0" fontId="46" fillId="16" borderId="0" xfId="0" applyFont="1" applyFill="1" applyAlignment="1">
      <alignment horizontal="center"/>
    </xf>
    <xf numFmtId="3" fontId="12" fillId="0" borderId="11" xfId="25" applyNumberFormat="1" applyFont="1" applyFill="1" applyBorder="1" applyAlignment="1">
      <alignment horizontal="right"/>
    </xf>
    <xf numFmtId="10" fontId="12" fillId="0" borderId="11" xfId="25" applyNumberFormat="1" applyFont="1" applyFill="1" applyBorder="1" applyAlignment="1">
      <alignment horizontal="right"/>
    </xf>
    <xf numFmtId="167" fontId="12" fillId="0" borderId="26" xfId="25" applyNumberFormat="1" applyFont="1" applyFill="1" applyBorder="1" applyAlignment="1">
      <alignment horizontal="right"/>
    </xf>
    <xf numFmtId="167" fontId="12" fillId="0" borderId="13" xfId="25" applyNumberFormat="1" applyFont="1" applyFill="1" applyBorder="1" applyAlignment="1">
      <alignment horizontal="right"/>
    </xf>
    <xf numFmtId="4" fontId="12" fillId="0" borderId="11" xfId="25" applyNumberFormat="1" applyFont="1" applyFill="1" applyBorder="1" applyAlignment="1">
      <alignment horizontal="right"/>
    </xf>
    <xf numFmtId="3" fontId="12" fillId="0" borderId="0" xfId="25" applyNumberFormat="1" applyFont="1" applyFill="1" applyBorder="1" applyAlignment="1">
      <alignment horizontal="right"/>
    </xf>
    <xf numFmtId="174" fontId="12" fillId="0" borderId="11" xfId="25" applyNumberFormat="1" applyFont="1" applyFill="1" applyBorder="1" applyAlignment="1">
      <alignment horizontal="right"/>
    </xf>
    <xf numFmtId="0" fontId="12" fillId="24" borderId="12" xfId="0" applyFont="1" applyFill="1" applyBorder="1"/>
    <xf numFmtId="0" fontId="12" fillId="24" borderId="12" xfId="0" applyFont="1" applyFill="1" applyBorder="1" applyAlignment="1">
      <alignment horizontal="center"/>
    </xf>
    <xf numFmtId="4" fontId="12" fillId="0" borderId="11" xfId="25" applyNumberFormat="1" applyFont="1" applyFill="1" applyBorder="1" applyAlignment="1">
      <alignment horizontal="center"/>
    </xf>
    <xf numFmtId="3" fontId="12" fillId="20" borderId="12" xfId="25" applyNumberFormat="1" applyFont="1" applyFill="1" applyBorder="1" applyAlignment="1">
      <alignment horizontal="right"/>
    </xf>
    <xf numFmtId="1" fontId="48" fillId="19" borderId="12" xfId="0" applyNumberFormat="1" applyFont="1" applyFill="1" applyBorder="1" applyAlignment="1">
      <alignment horizontal="center" vertical="center"/>
    </xf>
    <xf numFmtId="1" fontId="48" fillId="19" borderId="26" xfId="0" applyNumberFormat="1" applyFont="1" applyFill="1" applyBorder="1" applyAlignment="1">
      <alignment horizontal="center" vertical="center"/>
    </xf>
    <xf numFmtId="1" fontId="48" fillId="0" borderId="0" xfId="0" applyNumberFormat="1" applyFont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4" fontId="12" fillId="0" borderId="0" xfId="25" applyNumberFormat="1" applyFont="1" applyFill="1" applyBorder="1" applyAlignment="1">
      <alignment horizontal="right"/>
    </xf>
    <xf numFmtId="0" fontId="14" fillId="0" borderId="11" xfId="0" applyFont="1" applyBorder="1" applyAlignment="1">
      <alignment horizontal="center"/>
    </xf>
    <xf numFmtId="175" fontId="52" fillId="0" borderId="0" xfId="0" applyNumberFormat="1" applyFont="1" applyAlignment="1">
      <alignment horizontal="center" vertical="center"/>
    </xf>
    <xf numFmtId="166" fontId="12" fillId="20" borderId="0" xfId="25" applyNumberFormat="1" applyFont="1" applyFill="1" applyBorder="1" applyAlignment="1">
      <alignment horizontal="right"/>
    </xf>
    <xf numFmtId="166" fontId="12" fillId="0" borderId="0" xfId="25" applyNumberFormat="1" applyFont="1" applyFill="1" applyBorder="1" applyAlignment="1">
      <alignment horizontal="right"/>
    </xf>
    <xf numFmtId="3" fontId="11" fillId="17" borderId="11" xfId="0" applyNumberFormat="1" applyFont="1" applyFill="1" applyBorder="1" applyAlignment="1">
      <alignment vertical="center" wrapText="1"/>
    </xf>
    <xf numFmtId="3" fontId="11" fillId="17" borderId="11" xfId="0" applyNumberFormat="1" applyFont="1" applyFill="1" applyBorder="1" applyAlignment="1">
      <alignment vertical="center"/>
    </xf>
    <xf numFmtId="0" fontId="32" fillId="17" borderId="0" xfId="0" applyFont="1" applyFill="1" applyAlignment="1">
      <alignment horizontal="center"/>
    </xf>
    <xf numFmtId="165" fontId="12" fillId="0" borderId="0" xfId="0" applyNumberFormat="1" applyFont="1" applyAlignment="1">
      <alignment vertical="center" wrapText="1"/>
    </xf>
    <xf numFmtId="165" fontId="12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center" vertical="center" wrapText="1"/>
    </xf>
    <xf numFmtId="3" fontId="11" fillId="0" borderId="11" xfId="0" applyNumberFormat="1" applyFont="1" applyBorder="1" applyAlignment="1">
      <alignment horizontal="center"/>
    </xf>
    <xf numFmtId="176" fontId="12" fillId="0" borderId="11" xfId="0" applyNumberFormat="1" applyFont="1" applyBorder="1" applyAlignment="1">
      <alignment horizontal="right"/>
    </xf>
    <xf numFmtId="4" fontId="12" fillId="0" borderId="11" xfId="0" applyNumberFormat="1" applyFont="1" applyBorder="1" applyAlignment="1">
      <alignment horizontal="right"/>
    </xf>
    <xf numFmtId="9" fontId="12" fillId="0" borderId="11" xfId="25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>
      <alignment vertical="center" wrapText="1"/>
    </xf>
    <xf numFmtId="3" fontId="12" fillId="0" borderId="0" xfId="0" applyNumberFormat="1" applyFont="1" applyAlignment="1">
      <alignment horizontal="right" vertical="center" wrapText="1"/>
    </xf>
    <xf numFmtId="3" fontId="47" fillId="22" borderId="15" xfId="0" applyNumberFormat="1" applyFont="1" applyFill="1" applyBorder="1" applyAlignment="1">
      <alignment horizontal="right" vertical="center"/>
    </xf>
    <xf numFmtId="0" fontId="37" fillId="0" borderId="0" xfId="0" applyFont="1" applyAlignment="1">
      <alignment horizontal="left" wrapText="1"/>
    </xf>
    <xf numFmtId="0" fontId="31" fillId="0" borderId="0" xfId="0" applyFont="1" applyAlignment="1">
      <alignment horizontal="center"/>
    </xf>
    <xf numFmtId="0" fontId="12" fillId="18" borderId="0" xfId="0" applyFont="1" applyFill="1"/>
    <xf numFmtId="0" fontId="12" fillId="18" borderId="0" xfId="0" applyFont="1" applyFill="1" applyAlignment="1">
      <alignment horizontal="center"/>
    </xf>
    <xf numFmtId="4" fontId="11" fillId="0" borderId="0" xfId="0" applyNumberFormat="1" applyFont="1" applyAlignment="1">
      <alignment horizontal="right" vertical="center" wrapText="1"/>
    </xf>
    <xf numFmtId="49" fontId="48" fillId="19" borderId="31" xfId="0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175" fontId="12" fillId="0" borderId="0" xfId="0" applyNumberFormat="1" applyFont="1"/>
    <xf numFmtId="4" fontId="11" fillId="0" borderId="11" xfId="0" applyNumberFormat="1" applyFont="1" applyBorder="1" applyAlignment="1">
      <alignment horizontal="right"/>
    </xf>
    <xf numFmtId="3" fontId="12" fillId="17" borderId="0" xfId="0" applyNumberFormat="1" applyFont="1" applyFill="1" applyAlignment="1">
      <alignment vertical="center"/>
    </xf>
    <xf numFmtId="172" fontId="51" fillId="0" borderId="0" xfId="0" applyNumberFormat="1" applyFont="1" applyAlignment="1">
      <alignment horizontal="center"/>
    </xf>
    <xf numFmtId="169" fontId="12" fillId="0" borderId="0" xfId="25" applyNumberFormat="1" applyFont="1" applyFill="1" applyBorder="1" applyAlignment="1"/>
    <xf numFmtId="3" fontId="11" fillId="0" borderId="0" xfId="25" applyNumberFormat="1" applyFont="1" applyFill="1" applyBorder="1" applyAlignment="1">
      <alignment horizontal="right"/>
    </xf>
    <xf numFmtId="4" fontId="12" fillId="0" borderId="11" xfId="0" applyNumberFormat="1" applyFont="1" applyBorder="1" applyAlignment="1">
      <alignment vertical="center" wrapText="1"/>
    </xf>
    <xf numFmtId="4" fontId="12" fillId="0" borderId="35" xfId="25" applyNumberFormat="1" applyFont="1" applyFill="1" applyBorder="1" applyAlignment="1">
      <alignment horizontal="right"/>
    </xf>
    <xf numFmtId="10" fontId="12" fillId="0" borderId="11" xfId="25" applyNumberFormat="1" applyFont="1" applyFill="1" applyBorder="1" applyAlignment="1">
      <alignment horizontal="center"/>
    </xf>
    <xf numFmtId="164" fontId="12" fillId="0" borderId="0" xfId="0" applyNumberFormat="1" applyFont="1"/>
    <xf numFmtId="165" fontId="12" fillId="0" borderId="11" xfId="0" applyNumberFormat="1" applyFont="1" applyBorder="1" applyAlignment="1">
      <alignment vertical="center" wrapText="1"/>
    </xf>
    <xf numFmtId="0" fontId="12" fillId="0" borderId="0" xfId="0" applyFont="1" applyAlignment="1">
      <alignment horizontal="left" wrapText="1"/>
    </xf>
    <xf numFmtId="178" fontId="12" fillId="0" borderId="0" xfId="25" applyNumberFormat="1" applyFont="1" applyFill="1" applyBorder="1" applyAlignment="1">
      <alignment horizontal="right"/>
    </xf>
    <xf numFmtId="0" fontId="59" fillId="25" borderId="0" xfId="0" applyFont="1" applyFill="1" applyAlignment="1">
      <alignment vertical="center" wrapText="1"/>
    </xf>
    <xf numFmtId="4" fontId="60" fillId="0" borderId="11" xfId="0" applyNumberFormat="1" applyFont="1" applyBorder="1" applyAlignment="1">
      <alignment horizontal="right" vertical="center"/>
    </xf>
    <xf numFmtId="0" fontId="60" fillId="0" borderId="11" xfId="0" applyFont="1" applyBorder="1" applyAlignment="1">
      <alignment vertical="center"/>
    </xf>
    <xf numFmtId="10" fontId="11" fillId="0" borderId="0" xfId="25" applyNumberFormat="1" applyFont="1" applyFill="1" applyBorder="1" applyAlignment="1">
      <alignment horizontal="right" vertical="center"/>
    </xf>
    <xf numFmtId="0" fontId="11" fillId="23" borderId="0" xfId="0" applyFont="1" applyFill="1"/>
    <xf numFmtId="1" fontId="48" fillId="19" borderId="31" xfId="0" applyNumberFormat="1" applyFont="1" applyFill="1" applyBorder="1" applyAlignment="1">
      <alignment horizontal="center" vertical="center"/>
    </xf>
    <xf numFmtId="0" fontId="12" fillId="18" borderId="11" xfId="0" applyFont="1" applyFill="1" applyBorder="1" applyAlignment="1">
      <alignment horizontal="center"/>
    </xf>
    <xf numFmtId="0" fontId="12" fillId="18" borderId="11" xfId="0" applyFont="1" applyFill="1" applyBorder="1"/>
    <xf numFmtId="0" fontId="14" fillId="0" borderId="11" xfId="0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right" vertical="center" wrapText="1"/>
    </xf>
    <xf numFmtId="1" fontId="12" fillId="0" borderId="0" xfId="0" applyNumberFormat="1" applyFont="1"/>
    <xf numFmtId="1" fontId="61" fillId="0" borderId="0" xfId="0" applyNumberFormat="1" applyFont="1" applyAlignment="1">
      <alignment horizontal="center" vertical="center" wrapText="1"/>
    </xf>
    <xf numFmtId="0" fontId="12" fillId="18" borderId="20" xfId="0" applyFont="1" applyFill="1" applyBorder="1" applyAlignment="1">
      <alignment horizontal="center"/>
    </xf>
    <xf numFmtId="0" fontId="12" fillId="18" borderId="25" xfId="0" applyFont="1" applyFill="1" applyBorder="1"/>
    <xf numFmtId="1" fontId="12" fillId="0" borderId="19" xfId="0" applyNumberFormat="1" applyFont="1" applyBorder="1" applyAlignment="1">
      <alignment horizontal="right" vertical="center" wrapText="1"/>
    </xf>
    <xf numFmtId="0" fontId="12" fillId="18" borderId="23" xfId="0" applyFont="1" applyFill="1" applyBorder="1"/>
    <xf numFmtId="0" fontId="12" fillId="18" borderId="24" xfId="0" applyFont="1" applyFill="1" applyBorder="1" applyAlignment="1">
      <alignment horizontal="center"/>
    </xf>
    <xf numFmtId="0" fontId="11" fillId="18" borderId="22" xfId="0" applyFont="1" applyFill="1" applyBorder="1"/>
    <xf numFmtId="4" fontId="11" fillId="0" borderId="20" xfId="0" applyNumberFormat="1" applyFont="1" applyBorder="1" applyAlignment="1">
      <alignment horizontal="right" vertical="center" wrapText="1"/>
    </xf>
    <xf numFmtId="3" fontId="12" fillId="0" borderId="19" xfId="0" applyNumberFormat="1" applyFont="1" applyBorder="1" applyAlignment="1">
      <alignment horizontal="right" vertical="center" wrapText="1"/>
    </xf>
    <xf numFmtId="0" fontId="12" fillId="18" borderId="34" xfId="0" applyFont="1" applyFill="1" applyBorder="1" applyAlignment="1">
      <alignment horizontal="center"/>
    </xf>
    <xf numFmtId="0" fontId="12" fillId="18" borderId="36" xfId="0" applyFont="1" applyFill="1" applyBorder="1"/>
    <xf numFmtId="1" fontId="11" fillId="0" borderId="20" xfId="0" applyNumberFormat="1" applyFont="1" applyBorder="1" applyAlignment="1">
      <alignment horizontal="right" vertical="center" wrapText="1"/>
    </xf>
    <xf numFmtId="172" fontId="51" fillId="15" borderId="0" xfId="0" applyNumberFormat="1" applyFont="1" applyFill="1" applyAlignment="1">
      <alignment horizontal="center"/>
    </xf>
    <xf numFmtId="0" fontId="31" fillId="21" borderId="0" xfId="0" applyFont="1" applyFill="1" applyAlignment="1">
      <alignment horizontal="center"/>
    </xf>
    <xf numFmtId="169" fontId="12" fillId="0" borderId="13" xfId="0" applyNumberFormat="1" applyFont="1" applyBorder="1" applyAlignment="1">
      <alignment horizontal="right" vertical="center" wrapText="1"/>
    </xf>
    <xf numFmtId="3" fontId="4" fillId="0" borderId="27" xfId="0" applyNumberFormat="1" applyFont="1" applyBorder="1"/>
    <xf numFmtId="3" fontId="0" fillId="0" borderId="38" xfId="0" applyNumberFormat="1" applyBorder="1"/>
    <xf numFmtId="3" fontId="0" fillId="0" borderId="30" xfId="0" applyNumberFormat="1" applyBorder="1"/>
    <xf numFmtId="3" fontId="4" fillId="0" borderId="18" xfId="0" applyNumberFormat="1" applyFont="1" applyBorder="1"/>
    <xf numFmtId="4" fontId="0" fillId="0" borderId="39" xfId="0" applyNumberFormat="1" applyBorder="1"/>
    <xf numFmtId="4" fontId="0" fillId="0" borderId="17" xfId="0" applyNumberFormat="1" applyBorder="1"/>
    <xf numFmtId="3" fontId="5" fillId="18" borderId="21" xfId="0" applyNumberFormat="1" applyFont="1" applyFill="1" applyBorder="1" applyAlignment="1">
      <alignment horizontal="right"/>
    </xf>
    <xf numFmtId="3" fontId="5" fillId="18" borderId="28" xfId="0" applyNumberFormat="1" applyFont="1" applyFill="1" applyBorder="1" applyAlignment="1">
      <alignment horizontal="right"/>
    </xf>
    <xf numFmtId="0" fontId="5" fillId="18" borderId="22" xfId="0" applyFont="1" applyFill="1" applyBorder="1" applyAlignment="1">
      <alignment horizontal="center"/>
    </xf>
    <xf numFmtId="0" fontId="5" fillId="18" borderId="23" xfId="0" applyFont="1" applyFill="1" applyBorder="1" applyAlignment="1">
      <alignment horizontal="center"/>
    </xf>
    <xf numFmtId="169" fontId="5" fillId="18" borderId="21" xfId="0" applyNumberFormat="1" applyFont="1" applyFill="1" applyBorder="1" applyAlignment="1">
      <alignment horizontal="right"/>
    </xf>
    <xf numFmtId="169" fontId="5" fillId="18" borderId="28" xfId="0" applyNumberFormat="1" applyFont="1" applyFill="1" applyBorder="1" applyAlignment="1">
      <alignment horizontal="right"/>
    </xf>
    <xf numFmtId="3" fontId="12" fillId="0" borderId="13" xfId="0" applyNumberFormat="1" applyFont="1" applyBorder="1" applyAlignment="1">
      <alignment horizontal="right" vertical="center" wrapText="1"/>
    </xf>
    <xf numFmtId="0" fontId="12" fillId="17" borderId="11" xfId="0" applyFont="1" applyFill="1" applyBorder="1" applyAlignment="1">
      <alignment horizontal="center" vertical="center"/>
    </xf>
    <xf numFmtId="0" fontId="12" fillId="0" borderId="34" xfId="0" applyFont="1" applyBorder="1" applyAlignment="1">
      <alignment horizontal="left" vertical="center"/>
    </xf>
    <xf numFmtId="0" fontId="11" fillId="0" borderId="22" xfId="0" applyFont="1" applyBorder="1"/>
    <xf numFmtId="0" fontId="11" fillId="0" borderId="25" xfId="0" applyFont="1" applyBorder="1"/>
    <xf numFmtId="0" fontId="11" fillId="0" borderId="23" xfId="0" applyFont="1" applyBorder="1"/>
    <xf numFmtId="0" fontId="57" fillId="26" borderId="10" xfId="0" applyFont="1" applyFill="1" applyBorder="1"/>
    <xf numFmtId="0" fontId="10" fillId="26" borderId="31" xfId="0" applyFont="1" applyFill="1" applyBorder="1"/>
    <xf numFmtId="1" fontId="48" fillId="19" borderId="40" xfId="0" applyNumberFormat="1" applyFont="1" applyFill="1" applyBorder="1" applyAlignment="1">
      <alignment horizontal="center" vertical="center"/>
    </xf>
    <xf numFmtId="1" fontId="59" fillId="0" borderId="0" xfId="0" applyNumberFormat="1" applyFont="1" applyAlignment="1">
      <alignment horizontal="right" vertical="center" wrapText="1"/>
    </xf>
    <xf numFmtId="1" fontId="11" fillId="0" borderId="0" xfId="0" applyNumberFormat="1" applyFont="1" applyAlignment="1">
      <alignment horizontal="right" vertical="center" wrapText="1"/>
    </xf>
    <xf numFmtId="1" fontId="12" fillId="0" borderId="0" xfId="0" applyNumberFormat="1" applyFont="1" applyAlignment="1">
      <alignment horizontal="right" vertical="center" wrapText="1"/>
    </xf>
    <xf numFmtId="49" fontId="48" fillId="19" borderId="34" xfId="0" applyNumberFormat="1" applyFont="1" applyFill="1" applyBorder="1" applyAlignment="1">
      <alignment horizontal="center" vertical="center"/>
    </xf>
    <xf numFmtId="1" fontId="48" fillId="19" borderId="34" xfId="0" applyNumberFormat="1" applyFont="1" applyFill="1" applyBorder="1" applyAlignment="1">
      <alignment horizontal="center" vertical="center"/>
    </xf>
    <xf numFmtId="4" fontId="11" fillId="0" borderId="21" xfId="0" applyNumberFormat="1" applyFont="1" applyBorder="1" applyAlignment="1">
      <alignment horizontal="right" vertical="center" wrapText="1"/>
    </xf>
    <xf numFmtId="0" fontId="11" fillId="23" borderId="49" xfId="0" applyFont="1" applyFill="1" applyBorder="1"/>
    <xf numFmtId="0" fontId="12" fillId="24" borderId="11" xfId="0" applyFont="1" applyFill="1" applyBorder="1" applyAlignment="1">
      <alignment horizontal="center" vertical="center"/>
    </xf>
    <xf numFmtId="0" fontId="12" fillId="24" borderId="11" xfId="0" applyFont="1" applyFill="1" applyBorder="1" applyAlignment="1">
      <alignment horizontal="left" vertical="center"/>
    </xf>
    <xf numFmtId="0" fontId="12" fillId="24" borderId="12" xfId="0" applyFont="1" applyFill="1" applyBorder="1" applyAlignment="1">
      <alignment horizontal="center" vertical="center"/>
    </xf>
    <xf numFmtId="0" fontId="12" fillId="24" borderId="11" xfId="0" applyFont="1" applyFill="1" applyBorder="1" applyAlignment="1">
      <alignment vertical="center"/>
    </xf>
    <xf numFmtId="0" fontId="49" fillId="14" borderId="0" xfId="0" applyFont="1" applyFill="1"/>
    <xf numFmtId="0" fontId="49" fillId="16" borderId="0" xfId="0" applyFont="1" applyFill="1" applyAlignment="1">
      <alignment horizontal="center"/>
    </xf>
    <xf numFmtId="0" fontId="49" fillId="0" borderId="0" xfId="0" applyFont="1"/>
    <xf numFmtId="0" fontId="49" fillId="0" borderId="0" xfId="0" applyFont="1" applyAlignment="1">
      <alignment horizontal="center"/>
    </xf>
    <xf numFmtId="0" fontId="14" fillId="18" borderId="31" xfId="0" applyFont="1" applyFill="1" applyBorder="1" applyAlignment="1">
      <alignment vertical="top" wrapText="1"/>
    </xf>
    <xf numFmtId="0" fontId="14" fillId="18" borderId="16" xfId="0" applyFont="1" applyFill="1" applyBorder="1" applyAlignment="1">
      <alignment vertical="top" wrapText="1"/>
    </xf>
    <xf numFmtId="0" fontId="14" fillId="18" borderId="13" xfId="0" applyFont="1" applyFill="1" applyBorder="1" applyAlignment="1">
      <alignment vertical="top" wrapText="1"/>
    </xf>
    <xf numFmtId="0" fontId="14" fillId="18" borderId="0" xfId="0" applyFont="1" applyFill="1" applyAlignment="1">
      <alignment horizontal="left" vertical="top" wrapText="1"/>
    </xf>
    <xf numFmtId="10" fontId="12" fillId="0" borderId="12" xfId="25" applyNumberFormat="1" applyFont="1" applyFill="1" applyBorder="1" applyAlignment="1">
      <alignment horizontal="right"/>
    </xf>
    <xf numFmtId="0" fontId="63" fillId="0" borderId="0" xfId="0" applyFont="1"/>
    <xf numFmtId="0" fontId="12" fillId="0" borderId="11" xfId="0" quotePrefix="1" applyFont="1" applyBorder="1"/>
    <xf numFmtId="2" fontId="12" fillId="0" borderId="11" xfId="0" applyNumberFormat="1" applyFont="1" applyBorder="1"/>
    <xf numFmtId="3" fontId="12" fillId="0" borderId="0" xfId="0" applyNumberFormat="1" applyFont="1" applyAlignment="1">
      <alignment horizontal="right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4" fontId="14" fillId="0" borderId="0" xfId="0" applyNumberFormat="1" applyFont="1" applyAlignment="1">
      <alignment horizontal="left"/>
    </xf>
    <xf numFmtId="0" fontId="14" fillId="18" borderId="14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48" fillId="14" borderId="0" xfId="0" applyFont="1" applyFill="1"/>
    <xf numFmtId="0" fontId="48" fillId="14" borderId="0" xfId="0" applyFont="1" applyFill="1" applyAlignment="1">
      <alignment horizontal="left"/>
    </xf>
    <xf numFmtId="0" fontId="64" fillId="21" borderId="0" xfId="0" applyFont="1" applyFill="1" applyAlignment="1">
      <alignment horizontal="center" wrapText="1"/>
    </xf>
    <xf numFmtId="0" fontId="64" fillId="14" borderId="0" xfId="0" applyFont="1" applyFill="1" applyAlignment="1">
      <alignment horizontal="center"/>
    </xf>
    <xf numFmtId="0" fontId="64" fillId="20" borderId="0" xfId="0" applyFont="1" applyFill="1" applyAlignment="1">
      <alignment horizontal="center"/>
    </xf>
    <xf numFmtId="0" fontId="64" fillId="21" borderId="0" xfId="0" applyFont="1" applyFill="1" applyAlignment="1">
      <alignment horizontal="center"/>
    </xf>
    <xf numFmtId="0" fontId="11" fillId="20" borderId="11" xfId="0" applyFont="1" applyFill="1" applyBorder="1" applyAlignment="1">
      <alignment wrapText="1"/>
    </xf>
    <xf numFmtId="3" fontId="12" fillId="18" borderId="11" xfId="0" applyNumberFormat="1" applyFont="1" applyFill="1" applyBorder="1" applyAlignment="1">
      <alignment horizontal="right"/>
    </xf>
    <xf numFmtId="0" fontId="11" fillId="18" borderId="11" xfId="0" applyFont="1" applyFill="1" applyBorder="1" applyAlignment="1">
      <alignment horizontal="center"/>
    </xf>
    <xf numFmtId="3" fontId="11" fillId="18" borderId="11" xfId="0" applyNumberFormat="1" applyFont="1" applyFill="1" applyBorder="1" applyAlignment="1">
      <alignment horizontal="right"/>
    </xf>
    <xf numFmtId="0" fontId="11" fillId="0" borderId="0" xfId="0" applyFont="1" applyAlignment="1">
      <alignment wrapText="1"/>
    </xf>
    <xf numFmtId="3" fontId="65" fillId="0" borderId="0" xfId="0" applyNumberFormat="1" applyFont="1"/>
    <xf numFmtId="166" fontId="12" fillId="0" borderId="0" xfId="0" applyNumberFormat="1" applyFont="1"/>
    <xf numFmtId="169" fontId="12" fillId="0" borderId="0" xfId="0" applyNumberFormat="1" applyFont="1"/>
    <xf numFmtId="0" fontId="10" fillId="0" borderId="0" xfId="0" applyFont="1" applyAlignment="1">
      <alignment vertical="center" wrapText="1"/>
    </xf>
    <xf numFmtId="3" fontId="12" fillId="0" borderId="27" xfId="0" applyNumberFormat="1" applyFont="1" applyBorder="1"/>
    <xf numFmtId="169" fontId="12" fillId="18" borderId="21" xfId="0" applyNumberFormat="1" applyFont="1" applyFill="1" applyBorder="1" applyAlignment="1">
      <alignment horizontal="right"/>
    </xf>
    <xf numFmtId="3" fontId="12" fillId="18" borderId="21" xfId="0" applyNumberFormat="1" applyFont="1" applyFill="1" applyBorder="1" applyAlignment="1">
      <alignment horizontal="right"/>
    </xf>
    <xf numFmtId="0" fontId="12" fillId="18" borderId="22" xfId="0" applyFont="1" applyFill="1" applyBorder="1" applyAlignment="1">
      <alignment horizontal="center"/>
    </xf>
    <xf numFmtId="3" fontId="12" fillId="0" borderId="38" xfId="0" applyNumberFormat="1" applyFont="1" applyBorder="1"/>
    <xf numFmtId="3" fontId="12" fillId="0" borderId="30" xfId="0" applyNumberFormat="1" applyFont="1" applyBorder="1"/>
    <xf numFmtId="3" fontId="12" fillId="0" borderId="18" xfId="0" applyNumberFormat="1" applyFont="1" applyBorder="1"/>
    <xf numFmtId="169" fontId="12" fillId="18" borderId="28" xfId="0" applyNumberFormat="1" applyFont="1" applyFill="1" applyBorder="1" applyAlignment="1">
      <alignment horizontal="right"/>
    </xf>
    <xf numFmtId="3" fontId="12" fillId="18" borderId="28" xfId="0" applyNumberFormat="1" applyFont="1" applyFill="1" applyBorder="1" applyAlignment="1">
      <alignment horizontal="right"/>
    </xf>
    <xf numFmtId="0" fontId="12" fillId="18" borderId="23" xfId="0" applyFont="1" applyFill="1" applyBorder="1" applyAlignment="1">
      <alignment horizontal="center"/>
    </xf>
    <xf numFmtId="4" fontId="12" fillId="0" borderId="39" xfId="0" applyNumberFormat="1" applyFont="1" applyBorder="1"/>
    <xf numFmtId="4" fontId="12" fillId="0" borderId="17" xfId="0" applyNumberFormat="1" applyFont="1" applyBorder="1"/>
    <xf numFmtId="0" fontId="11" fillId="18" borderId="0" xfId="0" applyFont="1" applyFill="1" applyAlignment="1">
      <alignment horizontal="center"/>
    </xf>
    <xf numFmtId="3" fontId="12" fillId="18" borderId="0" xfId="0" applyNumberFormat="1" applyFont="1" applyFill="1" applyAlignment="1">
      <alignment horizontal="right"/>
    </xf>
    <xf numFmtId="172" fontId="67" fillId="15" borderId="0" xfId="0" applyNumberFormat="1" applyFont="1" applyFill="1" applyAlignment="1">
      <alignment horizontal="center"/>
    </xf>
    <xf numFmtId="1" fontId="12" fillId="18" borderId="11" xfId="0" applyNumberFormat="1" applyFont="1" applyFill="1" applyBorder="1" applyAlignment="1">
      <alignment horizontal="right"/>
    </xf>
    <xf numFmtId="0" fontId="10" fillId="0" borderId="0" xfId="0" applyFont="1" applyAlignment="1">
      <alignment wrapText="1"/>
    </xf>
    <xf numFmtId="4" fontId="48" fillId="22" borderId="11" xfId="0" applyNumberFormat="1" applyFont="1" applyFill="1" applyBorder="1" applyAlignment="1">
      <alignment horizontal="right" vertical="center"/>
    </xf>
    <xf numFmtId="10" fontId="48" fillId="22" borderId="14" xfId="25" applyNumberFormat="1" applyFont="1" applyFill="1" applyBorder="1" applyAlignment="1">
      <alignment horizontal="right" vertical="center"/>
    </xf>
    <xf numFmtId="173" fontId="11" fillId="0" borderId="0" xfId="25" applyNumberFormat="1" applyFont="1" applyFill="1" applyBorder="1" applyAlignment="1">
      <alignment horizontal="right" vertical="center"/>
    </xf>
    <xf numFmtId="10" fontId="48" fillId="0" borderId="0" xfId="25" applyNumberFormat="1" applyFont="1" applyFill="1" applyBorder="1" applyAlignment="1">
      <alignment horizontal="right" vertical="center"/>
    </xf>
    <xf numFmtId="0" fontId="11" fillId="18" borderId="34" xfId="0" applyFont="1" applyFill="1" applyBorder="1" applyAlignment="1">
      <alignment horizontal="center"/>
    </xf>
    <xf numFmtId="3" fontId="11" fillId="18" borderId="34" xfId="0" applyNumberFormat="1" applyFont="1" applyFill="1" applyBorder="1" applyAlignment="1">
      <alignment horizontal="right"/>
    </xf>
    <xf numFmtId="0" fontId="12" fillId="0" borderId="14" xfId="0" applyFont="1" applyBorder="1" applyAlignment="1">
      <alignment horizontal="center"/>
    </xf>
    <xf numFmtId="0" fontId="68" fillId="0" borderId="35" xfId="0" applyFont="1" applyBorder="1" applyAlignment="1">
      <alignment horizontal="right"/>
    </xf>
    <xf numFmtId="3" fontId="68" fillId="0" borderId="35" xfId="25" applyNumberFormat="1" applyFont="1" applyFill="1" applyBorder="1" applyAlignment="1">
      <alignment horizontal="right" vertical="center"/>
    </xf>
    <xf numFmtId="0" fontId="49" fillId="26" borderId="0" xfId="0" applyFont="1" applyFill="1"/>
    <xf numFmtId="0" fontId="49" fillId="26" borderId="0" xfId="0" applyFont="1" applyFill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4" fontId="12" fillId="0" borderId="0" xfId="25" applyNumberFormat="1" applyFont="1" applyFill="1" applyBorder="1" applyAlignment="1"/>
    <xf numFmtId="10" fontId="12" fillId="0" borderId="0" xfId="25" applyNumberFormat="1" applyFont="1" applyFill="1" applyBorder="1" applyAlignment="1">
      <alignment horizontal="left"/>
    </xf>
    <xf numFmtId="0" fontId="69" fillId="0" borderId="0" xfId="48"/>
    <xf numFmtId="0" fontId="64" fillId="0" borderId="0" xfId="0" applyFont="1" applyAlignment="1">
      <alignment horizontal="center" wrapText="1"/>
    </xf>
    <xf numFmtId="0" fontId="64" fillId="0" borderId="0" xfId="0" applyFont="1" applyAlignment="1">
      <alignment horizontal="center"/>
    </xf>
    <xf numFmtId="0" fontId="11" fillId="18" borderId="33" xfId="0" applyFont="1" applyFill="1" applyBorder="1"/>
    <xf numFmtId="4" fontId="12" fillId="0" borderId="40" xfId="0" applyNumberFormat="1" applyFont="1" applyBorder="1" applyAlignment="1">
      <alignment vertical="center" wrapText="1"/>
    </xf>
    <xf numFmtId="4" fontId="12" fillId="0" borderId="51" xfId="0" applyNumberFormat="1" applyFont="1" applyBorder="1" applyAlignment="1">
      <alignment vertical="center" wrapText="1"/>
    </xf>
    <xf numFmtId="0" fontId="14" fillId="0" borderId="19" xfId="0" applyFont="1" applyBorder="1" applyAlignment="1">
      <alignment horizontal="center" vertical="center" wrapText="1"/>
    </xf>
    <xf numFmtId="4" fontId="12" fillId="0" borderId="19" xfId="0" applyNumberFormat="1" applyFont="1" applyBorder="1" applyAlignment="1">
      <alignment vertical="center" wrapText="1"/>
    </xf>
    <xf numFmtId="4" fontId="12" fillId="0" borderId="24" xfId="0" applyNumberFormat="1" applyFont="1" applyBorder="1" applyAlignment="1">
      <alignment vertical="center" wrapText="1"/>
    </xf>
    <xf numFmtId="4" fontId="12" fillId="0" borderId="28" xfId="0" applyNumberFormat="1" applyFont="1" applyBorder="1" applyAlignment="1">
      <alignment vertical="center" wrapText="1"/>
    </xf>
    <xf numFmtId="0" fontId="12" fillId="0" borderId="0" xfId="48" applyFont="1"/>
    <xf numFmtId="0" fontId="12" fillId="0" borderId="11" xfId="0" applyFont="1" applyBorder="1" applyAlignment="1">
      <alignment horizontal="left" vertical="center" wrapText="1"/>
    </xf>
    <xf numFmtId="3" fontId="12" fillId="0" borderId="11" xfId="35" applyNumberFormat="1" applyFont="1" applyBorder="1"/>
    <xf numFmtId="0" fontId="11" fillId="0" borderId="0" xfId="35" applyFont="1"/>
    <xf numFmtId="0" fontId="11" fillId="0" borderId="0" xfId="35" applyFont="1" applyAlignment="1">
      <alignment horizontal="center"/>
    </xf>
    <xf numFmtId="0" fontId="48" fillId="16" borderId="0" xfId="0" applyFont="1" applyFill="1"/>
    <xf numFmtId="3" fontId="12" fillId="13" borderId="11" xfId="35" applyNumberFormat="1" applyFont="1" applyFill="1" applyBorder="1"/>
    <xf numFmtId="0" fontId="11" fillId="0" borderId="11" xfId="0" applyFont="1" applyBorder="1"/>
    <xf numFmtId="3" fontId="12" fillId="0" borderId="0" xfId="35" applyNumberFormat="1" applyFont="1"/>
    <xf numFmtId="171" fontId="11" fillId="0" borderId="11" xfId="0" applyNumberFormat="1" applyFont="1" applyBorder="1" applyAlignment="1">
      <alignment horizontal="center"/>
    </xf>
    <xf numFmtId="0" fontId="12" fillId="0" borderId="2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17" borderId="20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3" fontId="12" fillId="0" borderId="29" xfId="0" applyNumberFormat="1" applyFont="1" applyBorder="1" applyAlignment="1">
      <alignment horizontal="right" vertical="center" wrapText="1"/>
    </xf>
    <xf numFmtId="0" fontId="12" fillId="0" borderId="25" xfId="0" applyFont="1" applyBorder="1" applyAlignment="1">
      <alignment horizontal="right"/>
    </xf>
    <xf numFmtId="0" fontId="11" fillId="0" borderId="54" xfId="0" applyFont="1" applyBorder="1" applyAlignment="1">
      <alignment horizontal="right"/>
    </xf>
    <xf numFmtId="0" fontId="11" fillId="0" borderId="55" xfId="0" applyFont="1" applyBorder="1" applyAlignment="1">
      <alignment horizontal="right"/>
    </xf>
    <xf numFmtId="0" fontId="11" fillId="0" borderId="26" xfId="0" applyFont="1" applyBorder="1"/>
    <xf numFmtId="171" fontId="11" fillId="0" borderId="13" xfId="0" applyNumberFormat="1" applyFont="1" applyBorder="1" applyAlignment="1">
      <alignment horizontal="center"/>
    </xf>
    <xf numFmtId="171" fontId="11" fillId="0" borderId="15" xfId="0" applyNumberFormat="1" applyFont="1" applyBorder="1" applyAlignment="1">
      <alignment horizontal="center"/>
    </xf>
    <xf numFmtId="0" fontId="12" fillId="20" borderId="11" xfId="0" applyFont="1" applyFill="1" applyBorder="1"/>
    <xf numFmtId="0" fontId="12" fillId="0" borderId="13" xfId="0" applyFont="1" applyBorder="1"/>
    <xf numFmtId="0" fontId="12" fillId="0" borderId="11" xfId="0" applyFont="1" applyBorder="1" applyAlignment="1">
      <alignment horizontal="right"/>
    </xf>
    <xf numFmtId="3" fontId="12" fillId="0" borderId="13" xfId="0" applyNumberFormat="1" applyFont="1" applyBorder="1" applyAlignment="1">
      <alignment horizontal="right"/>
    </xf>
    <xf numFmtId="2" fontId="12" fillId="0" borderId="11" xfId="0" applyNumberFormat="1" applyFont="1" applyBorder="1" applyAlignment="1">
      <alignment vertical="center" wrapText="1"/>
    </xf>
    <xf numFmtId="0" fontId="14" fillId="0" borderId="0" xfId="0" applyFont="1" applyAlignment="1">
      <alignment horizontal="right"/>
    </xf>
    <xf numFmtId="1" fontId="11" fillId="0" borderId="11" xfId="0" applyNumberFormat="1" applyFont="1" applyBorder="1" applyAlignment="1">
      <alignment horizontal="right" vertical="center" wrapText="1"/>
    </xf>
    <xf numFmtId="0" fontId="12" fillId="24" borderId="41" xfId="0" applyFont="1" applyFill="1" applyBorder="1" applyAlignment="1">
      <alignment horizontal="center" vertical="center"/>
    </xf>
    <xf numFmtId="4" fontId="12" fillId="0" borderId="11" xfId="0" applyNumberFormat="1" applyFont="1" applyBorder="1" applyAlignment="1">
      <alignment horizontal="center" vertical="center" wrapText="1"/>
    </xf>
    <xf numFmtId="4" fontId="12" fillId="0" borderId="19" xfId="0" applyNumberFormat="1" applyFont="1" applyBorder="1" applyAlignment="1">
      <alignment horizontal="center" vertical="center" wrapText="1"/>
    </xf>
    <xf numFmtId="0" fontId="12" fillId="24" borderId="24" xfId="0" applyFont="1" applyFill="1" applyBorder="1" applyAlignment="1">
      <alignment horizontal="center" vertical="center"/>
    </xf>
    <xf numFmtId="1" fontId="11" fillId="0" borderId="19" xfId="0" applyNumberFormat="1" applyFont="1" applyBorder="1" applyAlignment="1">
      <alignment horizontal="right" vertical="center" wrapText="1"/>
    </xf>
    <xf numFmtId="0" fontId="11" fillId="0" borderId="11" xfId="0" applyFont="1" applyBorder="1" applyAlignment="1">
      <alignment horizontal="center"/>
    </xf>
    <xf numFmtId="0" fontId="72" fillId="17" borderId="0" xfId="0" applyFont="1" applyFill="1" applyAlignment="1">
      <alignment horizontal="right"/>
    </xf>
    <xf numFmtId="4" fontId="11" fillId="0" borderId="14" xfId="0" applyNumberFormat="1" applyFont="1" applyBorder="1" applyAlignment="1">
      <alignment horizontal="left" vertical="center"/>
    </xf>
    <xf numFmtId="4" fontId="11" fillId="0" borderId="0" xfId="0" applyNumberFormat="1" applyFont="1"/>
    <xf numFmtId="4" fontId="11" fillId="20" borderId="0" xfId="0" applyNumberFormat="1" applyFont="1" applyFill="1"/>
    <xf numFmtId="4" fontId="11" fillId="0" borderId="14" xfId="0" applyNumberFormat="1" applyFont="1" applyBorder="1"/>
    <xf numFmtId="4" fontId="11" fillId="0" borderId="12" xfId="0" applyNumberFormat="1" applyFont="1" applyBorder="1"/>
    <xf numFmtId="3" fontId="12" fillId="0" borderId="50" xfId="0" applyNumberFormat="1" applyFont="1" applyBorder="1" applyAlignment="1">
      <alignment horizontal="right" wrapText="1"/>
    </xf>
    <xf numFmtId="0" fontId="11" fillId="18" borderId="25" xfId="0" applyFont="1" applyFill="1" applyBorder="1"/>
    <xf numFmtId="4" fontId="12" fillId="0" borderId="0" xfId="0" applyNumberFormat="1" applyFont="1" applyAlignment="1">
      <alignment horizontal="right" vertical="center" wrapText="1"/>
    </xf>
    <xf numFmtId="0" fontId="12" fillId="0" borderId="49" xfId="0" applyFont="1" applyBorder="1"/>
    <xf numFmtId="1" fontId="59" fillId="0" borderId="11" xfId="0" applyNumberFormat="1" applyFont="1" applyBorder="1" applyAlignment="1">
      <alignment horizontal="right" vertical="center" wrapText="1"/>
    </xf>
    <xf numFmtId="3" fontId="11" fillId="0" borderId="11" xfId="0" applyNumberFormat="1" applyFont="1" applyBorder="1" applyAlignment="1">
      <alignment horizontal="right" vertical="center" wrapText="1"/>
    </xf>
    <xf numFmtId="1" fontId="59" fillId="0" borderId="19" xfId="0" applyNumberFormat="1" applyFont="1" applyBorder="1" applyAlignment="1">
      <alignment horizontal="right" vertical="center" wrapText="1"/>
    </xf>
    <xf numFmtId="3" fontId="11" fillId="0" borderId="19" xfId="0" applyNumberFormat="1" applyFont="1" applyBorder="1" applyAlignment="1">
      <alignment horizontal="right" vertical="center" wrapText="1"/>
    </xf>
    <xf numFmtId="4" fontId="12" fillId="0" borderId="24" xfId="0" applyNumberFormat="1" applyFont="1" applyBorder="1" applyAlignment="1">
      <alignment horizontal="right" vertical="center" wrapText="1"/>
    </xf>
    <xf numFmtId="4" fontId="12" fillId="0" borderId="28" xfId="0" applyNumberFormat="1" applyFont="1" applyBorder="1" applyAlignment="1">
      <alignment horizontal="right" vertical="center" wrapText="1"/>
    </xf>
    <xf numFmtId="1" fontId="11" fillId="0" borderId="34" xfId="0" applyNumberFormat="1" applyFont="1" applyBorder="1" applyAlignment="1">
      <alignment horizontal="right" vertical="center" wrapText="1"/>
    </xf>
    <xf numFmtId="1" fontId="11" fillId="0" borderId="37" xfId="0" applyNumberFormat="1" applyFont="1" applyBorder="1" applyAlignment="1">
      <alignment horizontal="right" vertical="center" wrapText="1"/>
    </xf>
    <xf numFmtId="0" fontId="48" fillId="28" borderId="22" xfId="0" applyFont="1" applyFill="1" applyBorder="1"/>
    <xf numFmtId="0" fontId="11" fillId="18" borderId="23" xfId="0" applyFont="1" applyFill="1" applyBorder="1"/>
    <xf numFmtId="1" fontId="11" fillId="0" borderId="24" xfId="0" applyNumberFormat="1" applyFont="1" applyBorder="1" applyAlignment="1">
      <alignment horizontal="right" vertical="center" wrapText="1"/>
    </xf>
    <xf numFmtId="1" fontId="11" fillId="0" borderId="28" xfId="0" applyNumberFormat="1" applyFont="1" applyBorder="1" applyAlignment="1">
      <alignment horizontal="right" vertical="center" wrapText="1"/>
    </xf>
    <xf numFmtId="0" fontId="59" fillId="18" borderId="11" xfId="0" applyFont="1" applyFill="1" applyBorder="1" applyAlignment="1">
      <alignment vertical="center" wrapText="1"/>
    </xf>
    <xf numFmtId="172" fontId="12" fillId="18" borderId="11" xfId="0" applyNumberFormat="1" applyFont="1" applyFill="1" applyBorder="1" applyAlignment="1">
      <alignment horizontal="center"/>
    </xf>
    <xf numFmtId="0" fontId="59" fillId="18" borderId="11" xfId="0" applyFont="1" applyFill="1" applyBorder="1" applyAlignment="1">
      <alignment horizontal="center" vertical="center" wrapText="1"/>
    </xf>
    <xf numFmtId="3" fontId="12" fillId="0" borderId="34" xfId="0" applyNumberFormat="1" applyFont="1" applyBorder="1" applyAlignment="1">
      <alignment horizontal="right" vertical="center" wrapText="1"/>
    </xf>
    <xf numFmtId="3" fontId="12" fillId="0" borderId="37" xfId="0" applyNumberFormat="1" applyFont="1" applyBorder="1" applyAlignment="1">
      <alignment horizontal="right" vertical="center" wrapText="1"/>
    </xf>
    <xf numFmtId="165" fontId="12" fillId="0" borderId="0" xfId="0" applyNumberFormat="1" applyFont="1"/>
    <xf numFmtId="0" fontId="12" fillId="24" borderId="11" xfId="0" applyFont="1" applyFill="1" applyBorder="1" applyAlignment="1">
      <alignment vertical="center" wrapText="1"/>
    </xf>
    <xf numFmtId="0" fontId="14" fillId="18" borderId="14" xfId="0" applyFont="1" applyFill="1" applyBorder="1" applyAlignment="1">
      <alignment horizontal="left" vertical="center" wrapText="1"/>
    </xf>
    <xf numFmtId="0" fontId="49" fillId="16" borderId="0" xfId="0" applyFont="1" applyFill="1" applyAlignment="1">
      <alignment vertical="center"/>
    </xf>
    <xf numFmtId="0" fontId="49" fillId="0" borderId="0" xfId="0" applyFont="1" applyAlignment="1">
      <alignment vertical="center"/>
    </xf>
    <xf numFmtId="3" fontId="11" fillId="0" borderId="11" xfId="25" applyNumberFormat="1" applyFont="1" applyFill="1" applyBorder="1" applyAlignment="1">
      <alignment horizontal="right" vertical="center"/>
    </xf>
    <xf numFmtId="4" fontId="12" fillId="0" borderId="11" xfId="25" applyNumberFormat="1" applyFont="1" applyFill="1" applyBorder="1" applyAlignment="1">
      <alignment horizontal="right" vertical="center"/>
    </xf>
    <xf numFmtId="169" fontId="12" fillId="0" borderId="11" xfId="25" applyNumberFormat="1" applyFont="1" applyFill="1" applyBorder="1" applyAlignment="1">
      <alignment horizontal="right" vertical="center"/>
    </xf>
    <xf numFmtId="4" fontId="12" fillId="0" borderId="0" xfId="25" applyNumberFormat="1" applyFont="1" applyFill="1" applyBorder="1" applyAlignment="1">
      <alignment horizontal="right" vertical="center"/>
    </xf>
    <xf numFmtId="10" fontId="12" fillId="0" borderId="0" xfId="25" applyNumberFormat="1" applyFont="1" applyFill="1" applyBorder="1" applyAlignment="1">
      <alignment horizontal="right" vertical="center"/>
    </xf>
    <xf numFmtId="169" fontId="12" fillId="0" borderId="0" xfId="25" applyNumberFormat="1" applyFont="1" applyFill="1" applyBorder="1" applyAlignment="1">
      <alignment vertical="center"/>
    </xf>
    <xf numFmtId="0" fontId="14" fillId="18" borderId="11" xfId="0" applyFont="1" applyFill="1" applyBorder="1" applyAlignment="1">
      <alignment horizontal="left" vertical="center"/>
    </xf>
    <xf numFmtId="4" fontId="12" fillId="0" borderId="11" xfId="25" applyNumberFormat="1" applyFont="1" applyFill="1" applyBorder="1" applyAlignment="1">
      <alignment vertical="center"/>
    </xf>
    <xf numFmtId="10" fontId="12" fillId="0" borderId="11" xfId="25" applyNumberFormat="1" applyFont="1" applyFill="1" applyBorder="1" applyAlignment="1">
      <alignment horizontal="left" vertical="center"/>
    </xf>
    <xf numFmtId="3" fontId="11" fillId="0" borderId="20" xfId="0" applyNumberFormat="1" applyFont="1" applyBorder="1" applyAlignment="1">
      <alignment horizontal="right" vertical="center" wrapText="1"/>
    </xf>
    <xf numFmtId="0" fontId="75" fillId="0" borderId="0" xfId="0" applyFont="1" applyAlignment="1">
      <alignment horizontal="right" vertical="center"/>
    </xf>
    <xf numFmtId="0" fontId="10" fillId="19" borderId="11" xfId="0" applyFont="1" applyFill="1" applyBorder="1" applyAlignment="1">
      <alignment horizontal="left" vertical="center"/>
    </xf>
    <xf numFmtId="1" fontId="10" fillId="19" borderId="11" xfId="0" applyNumberFormat="1" applyFont="1" applyFill="1" applyBorder="1" applyAlignment="1">
      <alignment horizontal="center" vertical="center"/>
    </xf>
    <xf numFmtId="0" fontId="74" fillId="0" borderId="11" xfId="0" applyFont="1" applyBorder="1" applyAlignment="1">
      <alignment vertical="center"/>
    </xf>
    <xf numFmtId="0" fontId="10" fillId="16" borderId="11" xfId="0" applyFont="1" applyFill="1" applyBorder="1" applyAlignment="1">
      <alignment horizontal="left"/>
    </xf>
    <xf numFmtId="0" fontId="10" fillId="16" borderId="11" xfId="0" applyFont="1" applyFill="1" applyBorder="1" applyAlignment="1">
      <alignment horizontal="left" vertical="center"/>
    </xf>
    <xf numFmtId="0" fontId="34" fillId="0" borderId="11" xfId="0" applyFont="1" applyBorder="1" applyAlignment="1">
      <alignment vertical="center" wrapText="1"/>
    </xf>
    <xf numFmtId="4" fontId="60" fillId="0" borderId="0" xfId="0" applyNumberFormat="1" applyFont="1" applyAlignment="1">
      <alignment horizontal="right" vertical="center"/>
    </xf>
    <xf numFmtId="0" fontId="12" fillId="0" borderId="0" xfId="35" applyFont="1"/>
    <xf numFmtId="0" fontId="12" fillId="0" borderId="0" xfId="35" applyFont="1" applyAlignment="1">
      <alignment horizontal="right"/>
    </xf>
    <xf numFmtId="0" fontId="12" fillId="0" borderId="11" xfId="35" applyFont="1" applyBorder="1" applyAlignment="1">
      <alignment horizontal="right"/>
    </xf>
    <xf numFmtId="0" fontId="12" fillId="0" borderId="11" xfId="35" applyFont="1" applyBorder="1" applyAlignment="1">
      <alignment horizontal="center"/>
    </xf>
    <xf numFmtId="0" fontId="12" fillId="0" borderId="0" xfId="35" applyFont="1" applyAlignment="1">
      <alignment horizontal="center"/>
    </xf>
    <xf numFmtId="0" fontId="11" fillId="0" borderId="11" xfId="35" applyFont="1" applyBorder="1"/>
    <xf numFmtId="0" fontId="11" fillId="0" borderId="11" xfId="35" applyFont="1" applyBorder="1" applyAlignment="1">
      <alignment horizontal="center"/>
    </xf>
    <xf numFmtId="0" fontId="52" fillId="0" borderId="0" xfId="35" applyFont="1"/>
    <xf numFmtId="0" fontId="77" fillId="0" borderId="0" xfId="0" applyFont="1"/>
    <xf numFmtId="0" fontId="12" fillId="0" borderId="0" xfId="0" applyFont="1" applyAlignment="1">
      <alignment horizontal="right" vertical="center" wrapText="1"/>
    </xf>
    <xf numFmtId="0" fontId="14" fillId="0" borderId="0" xfId="0" applyFont="1" applyAlignment="1">
      <alignment wrapText="1"/>
    </xf>
    <xf numFmtId="3" fontId="12" fillId="0" borderId="12" xfId="0" applyNumberFormat="1" applyFont="1" applyBorder="1" applyAlignment="1">
      <alignment wrapText="1"/>
    </xf>
    <xf numFmtId="3" fontId="12" fillId="0" borderId="11" xfId="0" applyNumberFormat="1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12" fillId="17" borderId="11" xfId="0" applyFont="1" applyFill="1" applyBorder="1" applyAlignment="1">
      <alignment horizontal="center"/>
    </xf>
    <xf numFmtId="0" fontId="12" fillId="17" borderId="34" xfId="0" applyFont="1" applyFill="1" applyBorder="1" applyAlignment="1">
      <alignment horizontal="center"/>
    </xf>
    <xf numFmtId="0" fontId="12" fillId="17" borderId="20" xfId="0" applyFont="1" applyFill="1" applyBorder="1" applyAlignment="1">
      <alignment horizontal="center"/>
    </xf>
    <xf numFmtId="0" fontId="14" fillId="17" borderId="11" xfId="0" applyFont="1" applyFill="1" applyBorder="1" applyAlignment="1">
      <alignment horizontal="center"/>
    </xf>
    <xf numFmtId="0" fontId="14" fillId="17" borderId="24" xfId="0" applyFont="1" applyFill="1" applyBorder="1" applyAlignment="1">
      <alignment horizontal="center"/>
    </xf>
    <xf numFmtId="177" fontId="36" fillId="0" borderId="11" xfId="9" applyNumberFormat="1" applyFont="1" applyFill="1" applyBorder="1" applyAlignment="1">
      <alignment horizontal="center" vertical="center" wrapText="1"/>
    </xf>
    <xf numFmtId="177" fontId="12" fillId="0" borderId="11" xfId="9" applyNumberFormat="1" applyFont="1" applyFill="1" applyBorder="1" applyAlignment="1">
      <alignment horizontal="center" vertical="center" wrapText="1"/>
    </xf>
    <xf numFmtId="166" fontId="36" fillId="0" borderId="11" xfId="0" applyNumberFormat="1" applyFont="1" applyBorder="1" applyAlignment="1">
      <alignment horizontal="center" vertical="center" wrapText="1"/>
    </xf>
    <xf numFmtId="165" fontId="12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10" fontId="47" fillId="29" borderId="0" xfId="25" applyNumberFormat="1" applyFont="1" applyFill="1" applyBorder="1" applyAlignment="1">
      <alignment horizontal="center" vertical="center"/>
    </xf>
    <xf numFmtId="10" fontId="80" fillId="29" borderId="0" xfId="25" applyNumberFormat="1" applyFont="1" applyFill="1" applyBorder="1" applyAlignment="1">
      <alignment horizontal="right" vertical="center"/>
    </xf>
    <xf numFmtId="10" fontId="47" fillId="22" borderId="14" xfId="25" applyNumberFormat="1" applyFont="1" applyFill="1" applyBorder="1" applyAlignment="1">
      <alignment horizontal="right" vertical="center"/>
    </xf>
    <xf numFmtId="4" fontId="36" fillId="0" borderId="11" xfId="0" applyNumberFormat="1" applyFont="1" applyBorder="1" applyAlignment="1">
      <alignment horizontal="right"/>
    </xf>
    <xf numFmtId="1" fontId="12" fillId="0" borderId="34" xfId="0" applyNumberFormat="1" applyFont="1" applyBorder="1" applyAlignment="1">
      <alignment horizontal="right" vertical="center" wrapText="1"/>
    </xf>
    <xf numFmtId="1" fontId="12" fillId="0" borderId="37" xfId="0" applyNumberFormat="1" applyFont="1" applyBorder="1" applyAlignment="1">
      <alignment horizontal="right" vertical="center" wrapText="1"/>
    </xf>
    <xf numFmtId="0" fontId="12" fillId="24" borderId="22" xfId="0" applyFont="1" applyFill="1" applyBorder="1" applyAlignment="1">
      <alignment vertical="center"/>
    </xf>
    <xf numFmtId="0" fontId="12" fillId="24" borderId="20" xfId="0" applyFont="1" applyFill="1" applyBorder="1" applyAlignment="1">
      <alignment horizontal="center" vertical="center"/>
    </xf>
    <xf numFmtId="0" fontId="14" fillId="18" borderId="42" xfId="0" applyFont="1" applyFill="1" applyBorder="1" applyAlignment="1">
      <alignment horizontal="left" vertical="center" wrapText="1"/>
    </xf>
    <xf numFmtId="3" fontId="12" fillId="0" borderId="21" xfId="25" applyNumberFormat="1" applyFont="1" applyFill="1" applyBorder="1" applyAlignment="1">
      <alignment horizontal="right"/>
    </xf>
    <xf numFmtId="0" fontId="12" fillId="24" borderId="25" xfId="0" applyFont="1" applyFill="1" applyBorder="1" applyAlignment="1">
      <alignment vertical="center"/>
    </xf>
    <xf numFmtId="3" fontId="12" fillId="0" borderId="19" xfId="25" applyNumberFormat="1" applyFont="1" applyFill="1" applyBorder="1" applyAlignment="1">
      <alignment horizontal="right"/>
    </xf>
    <xf numFmtId="0" fontId="12" fillId="24" borderId="23" xfId="0" applyFont="1" applyFill="1" applyBorder="1" applyAlignment="1">
      <alignment vertical="center"/>
    </xf>
    <xf numFmtId="0" fontId="14" fillId="18" borderId="46" xfId="0" applyFont="1" applyFill="1" applyBorder="1" applyAlignment="1">
      <alignment horizontal="left" vertical="center" wrapText="1"/>
    </xf>
    <xf numFmtId="3" fontId="12" fillId="0" borderId="21" xfId="25" applyNumberFormat="1" applyFont="1" applyFill="1" applyBorder="1" applyAlignment="1">
      <alignment horizontal="right" vertical="center"/>
    </xf>
    <xf numFmtId="3" fontId="12" fillId="0" borderId="28" xfId="25" applyNumberFormat="1" applyFont="1" applyFill="1" applyBorder="1" applyAlignment="1">
      <alignment horizontal="right" vertical="center"/>
    </xf>
    <xf numFmtId="1" fontId="12" fillId="18" borderId="11" xfId="0" applyNumberFormat="1" applyFont="1" applyFill="1" applyBorder="1" applyAlignment="1">
      <alignment horizontal="center"/>
    </xf>
    <xf numFmtId="4" fontId="12" fillId="30" borderId="11" xfId="0" applyNumberFormat="1" applyFont="1" applyFill="1" applyBorder="1" applyAlignment="1">
      <alignment vertical="center" wrapText="1"/>
    </xf>
    <xf numFmtId="4" fontId="12" fillId="0" borderId="11" xfId="0" applyNumberFormat="1" applyFont="1" applyBorder="1" applyAlignment="1">
      <alignment horizontal="right" vertical="center" wrapText="1"/>
    </xf>
    <xf numFmtId="1" fontId="48" fillId="19" borderId="34" xfId="0" applyNumberFormat="1" applyFont="1" applyFill="1" applyBorder="1" applyAlignment="1">
      <alignment horizontal="center" vertical="center" wrapText="1"/>
    </xf>
    <xf numFmtId="169" fontId="59" fillId="18" borderId="11" xfId="0" applyNumberFormat="1" applyFont="1" applyFill="1" applyBorder="1" applyAlignment="1">
      <alignment horizontal="center" vertical="center" wrapText="1"/>
    </xf>
    <xf numFmtId="167" fontId="11" fillId="0" borderId="0" xfId="25" applyNumberFormat="1" applyFont="1" applyFill="1" applyBorder="1" applyAlignment="1">
      <alignment horizontal="right" vertical="center"/>
    </xf>
    <xf numFmtId="1" fontId="11" fillId="0" borderId="0" xfId="0" applyNumberFormat="1" applyFont="1" applyAlignment="1">
      <alignment horizontal="center" vertical="center"/>
    </xf>
    <xf numFmtId="3" fontId="12" fillId="0" borderId="15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169" fontId="12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10" fontId="11" fillId="0" borderId="0" xfId="25" applyNumberFormat="1" applyFont="1" applyFill="1" applyBorder="1" applyAlignment="1">
      <alignment vertical="center" wrapText="1"/>
    </xf>
    <xf numFmtId="4" fontId="11" fillId="0" borderId="0" xfId="0" applyNumberFormat="1" applyFont="1" applyAlignment="1">
      <alignment vertical="center" wrapText="1"/>
    </xf>
    <xf numFmtId="0" fontId="12" fillId="0" borderId="25" xfId="0" applyFont="1" applyBorder="1" applyAlignment="1">
      <alignment horizontal="center" vertical="center" wrapText="1"/>
    </xf>
    <xf numFmtId="0" fontId="14" fillId="18" borderId="11" xfId="0" applyFont="1" applyFill="1" applyBorder="1" applyAlignment="1">
      <alignment horizontal="left" vertical="center" wrapText="1"/>
    </xf>
    <xf numFmtId="3" fontId="81" fillId="0" borderId="0" xfId="0" applyNumberFormat="1" applyFont="1" applyAlignment="1">
      <alignment horizontal="right" vertical="center"/>
    </xf>
    <xf numFmtId="3" fontId="34" fillId="0" borderId="0" xfId="0" applyNumberFormat="1" applyFont="1" applyAlignment="1">
      <alignment horizontal="center" vertical="center"/>
    </xf>
    <xf numFmtId="166" fontId="12" fillId="0" borderId="0" xfId="0" applyNumberFormat="1" applyFont="1" applyAlignment="1">
      <alignment vertical="center" wrapText="1"/>
    </xf>
    <xf numFmtId="167" fontId="60" fillId="0" borderId="0" xfId="25" applyNumberFormat="1" applyFont="1" applyFill="1" applyBorder="1" applyAlignment="1">
      <alignment horizontal="right" vertical="center"/>
    </xf>
    <xf numFmtId="3" fontId="11" fillId="0" borderId="0" xfId="25" applyNumberFormat="1" applyFont="1" applyFill="1" applyBorder="1" applyAlignment="1">
      <alignment horizontal="right" vertical="center"/>
    </xf>
    <xf numFmtId="3" fontId="52" fillId="0" borderId="0" xfId="0" applyNumberFormat="1" applyFont="1" applyAlignment="1">
      <alignment horizontal="right" vertical="center"/>
    </xf>
    <xf numFmtId="0" fontId="14" fillId="18" borderId="35" xfId="0" applyFont="1" applyFill="1" applyBorder="1" applyAlignment="1">
      <alignment horizontal="left"/>
    </xf>
    <xf numFmtId="3" fontId="11" fillId="15" borderId="11" xfId="0" applyNumberFormat="1" applyFont="1" applyFill="1" applyBorder="1" applyAlignment="1">
      <alignment horizontal="center" vertical="center" wrapText="1"/>
    </xf>
    <xf numFmtId="4" fontId="12" fillId="31" borderId="11" xfId="0" applyNumberFormat="1" applyFont="1" applyFill="1" applyBorder="1" applyAlignment="1">
      <alignment vertical="center" wrapText="1"/>
    </xf>
    <xf numFmtId="166" fontId="11" fillId="0" borderId="11" xfId="25" applyNumberFormat="1" applyFont="1" applyFill="1" applyBorder="1" applyAlignment="1">
      <alignment horizontal="right"/>
    </xf>
    <xf numFmtId="166" fontId="12" fillId="0" borderId="33" xfId="0" applyNumberFormat="1" applyFont="1" applyBorder="1" applyAlignment="1">
      <alignment horizontal="right" vertical="center" wrapText="1"/>
    </xf>
    <xf numFmtId="166" fontId="12" fillId="0" borderId="13" xfId="0" applyNumberFormat="1" applyFont="1" applyBorder="1" applyAlignment="1">
      <alignment horizontal="right" vertical="center" wrapText="1"/>
    </xf>
    <xf numFmtId="3" fontId="10" fillId="14" borderId="11" xfId="0" applyNumberFormat="1" applyFont="1" applyFill="1" applyBorder="1" applyAlignment="1">
      <alignment horizontal="right" vertical="center"/>
    </xf>
    <xf numFmtId="166" fontId="12" fillId="13" borderId="12" xfId="25" applyNumberFormat="1" applyFont="1" applyFill="1" applyBorder="1" applyAlignment="1">
      <alignment horizontal="right"/>
    </xf>
    <xf numFmtId="1" fontId="11" fillId="18" borderId="11" xfId="0" applyNumberFormat="1" applyFont="1" applyFill="1" applyBorder="1" applyAlignment="1">
      <alignment horizontal="center"/>
    </xf>
    <xf numFmtId="0" fontId="59" fillId="24" borderId="11" xfId="0" applyFont="1" applyFill="1" applyBorder="1" applyAlignment="1">
      <alignment vertical="center" wrapText="1"/>
    </xf>
    <xf numFmtId="1" fontId="12" fillId="24" borderId="11" xfId="0" applyNumberFormat="1" applyFont="1" applyFill="1" applyBorder="1" applyAlignment="1">
      <alignment horizontal="center"/>
    </xf>
    <xf numFmtId="0" fontId="59" fillId="24" borderId="11" xfId="0" applyFont="1" applyFill="1" applyBorder="1" applyAlignment="1">
      <alignment horizontal="center" vertical="center" wrapText="1"/>
    </xf>
    <xf numFmtId="0" fontId="82" fillId="24" borderId="11" xfId="0" applyFont="1" applyFill="1" applyBorder="1" applyAlignment="1">
      <alignment horizontal="center" vertical="center" wrapText="1"/>
    </xf>
    <xf numFmtId="172" fontId="12" fillId="24" borderId="11" xfId="0" applyNumberFormat="1" applyFont="1" applyFill="1" applyBorder="1" applyAlignment="1">
      <alignment horizontal="center"/>
    </xf>
    <xf numFmtId="4" fontId="59" fillId="24" borderId="11" xfId="0" applyNumberFormat="1" applyFont="1" applyFill="1" applyBorder="1" applyAlignment="1">
      <alignment horizontal="center" vertical="center" wrapText="1"/>
    </xf>
    <xf numFmtId="169" fontId="59" fillId="24" borderId="11" xfId="0" applyNumberFormat="1" applyFont="1" applyFill="1" applyBorder="1" applyAlignment="1">
      <alignment horizontal="center" vertical="center" wrapText="1"/>
    </xf>
    <xf numFmtId="4" fontId="12" fillId="31" borderId="24" xfId="0" applyNumberFormat="1" applyFont="1" applyFill="1" applyBorder="1" applyAlignment="1">
      <alignment vertical="center" wrapText="1"/>
    </xf>
    <xf numFmtId="0" fontId="34" fillId="0" borderId="0" xfId="0" applyFont="1" applyAlignment="1">
      <alignment horizontal="left"/>
    </xf>
    <xf numFmtId="169" fontId="12" fillId="0" borderId="11" xfId="0" applyNumberFormat="1" applyFont="1" applyBorder="1" applyAlignment="1">
      <alignment horizontal="right" vertical="center" wrapText="1"/>
    </xf>
    <xf numFmtId="167" fontId="11" fillId="30" borderId="0" xfId="25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left" vertical="center"/>
    </xf>
    <xf numFmtId="4" fontId="12" fillId="0" borderId="34" xfId="25" applyNumberFormat="1" applyFont="1" applyFill="1" applyBorder="1" applyAlignment="1">
      <alignment horizontal="right"/>
    </xf>
    <xf numFmtId="0" fontId="83" fillId="0" borderId="0" xfId="0" applyFont="1" applyAlignment="1">
      <alignment wrapText="1"/>
    </xf>
    <xf numFmtId="0" fontId="83" fillId="0" borderId="0" xfId="0" applyFont="1" applyAlignment="1">
      <alignment horizontal="right"/>
    </xf>
    <xf numFmtId="1" fontId="12" fillId="0" borderId="24" xfId="0" applyNumberFormat="1" applyFont="1" applyBorder="1" applyAlignment="1">
      <alignment horizontal="right" vertical="center" wrapText="1"/>
    </xf>
    <xf numFmtId="4" fontId="33" fillId="0" borderId="0" xfId="0" applyNumberFormat="1" applyFont="1"/>
    <xf numFmtId="4" fontId="49" fillId="16" borderId="0" xfId="0" applyNumberFormat="1" applyFont="1" applyFill="1"/>
    <xf numFmtId="0" fontId="12" fillId="24" borderId="13" xfId="0" applyFont="1" applyFill="1" applyBorder="1" applyAlignment="1">
      <alignment horizontal="center" vertical="center"/>
    </xf>
    <xf numFmtId="0" fontId="14" fillId="18" borderId="12" xfId="0" applyFont="1" applyFill="1" applyBorder="1" applyAlignment="1">
      <alignment horizontal="left" vertical="center"/>
    </xf>
    <xf numFmtId="0" fontId="11" fillId="24" borderId="11" xfId="0" applyFont="1" applyFill="1" applyBorder="1" applyAlignment="1">
      <alignment vertical="center"/>
    </xf>
    <xf numFmtId="0" fontId="14" fillId="18" borderId="12" xfId="0" applyFont="1" applyFill="1" applyBorder="1" applyAlignment="1">
      <alignment horizontal="left" vertical="center" wrapText="1"/>
    </xf>
    <xf numFmtId="0" fontId="12" fillId="24" borderId="12" xfId="0" applyFont="1" applyFill="1" applyBorder="1" applyAlignment="1">
      <alignment vertical="center"/>
    </xf>
    <xf numFmtId="0" fontId="11" fillId="24" borderId="12" xfId="0" applyFont="1" applyFill="1" applyBorder="1" applyAlignment="1">
      <alignment vertical="center"/>
    </xf>
    <xf numFmtId="0" fontId="12" fillId="24" borderId="0" xfId="0" applyFont="1" applyFill="1" applyAlignment="1">
      <alignment horizontal="left" vertical="center"/>
    </xf>
    <xf numFmtId="0" fontId="14" fillId="18" borderId="41" xfId="0" applyFont="1" applyFill="1" applyBorder="1" applyAlignment="1">
      <alignment horizontal="left" vertical="center" wrapText="1"/>
    </xf>
    <xf numFmtId="0" fontId="11" fillId="24" borderId="22" xfId="0" applyFont="1" applyFill="1" applyBorder="1" applyAlignment="1">
      <alignment vertical="center"/>
    </xf>
    <xf numFmtId="0" fontId="14" fillId="18" borderId="20" xfId="0" applyFont="1" applyFill="1" applyBorder="1" applyAlignment="1">
      <alignment horizontal="left" vertical="center" wrapText="1"/>
    </xf>
    <xf numFmtId="0" fontId="11" fillId="24" borderId="25" xfId="0" applyFont="1" applyFill="1" applyBorder="1" applyAlignment="1">
      <alignment vertical="center"/>
    </xf>
    <xf numFmtId="0" fontId="12" fillId="24" borderId="33" xfId="0" applyFont="1" applyFill="1" applyBorder="1" applyAlignment="1">
      <alignment vertical="center"/>
    </xf>
    <xf numFmtId="0" fontId="12" fillId="24" borderId="26" xfId="0" applyFont="1" applyFill="1" applyBorder="1" applyAlignment="1">
      <alignment horizontal="center" vertical="center"/>
    </xf>
    <xf numFmtId="0" fontId="14" fillId="18" borderId="26" xfId="0" applyFont="1" applyFill="1" applyBorder="1" applyAlignment="1">
      <alignment horizontal="left" vertical="center" wrapText="1"/>
    </xf>
    <xf numFmtId="0" fontId="14" fillId="18" borderId="24" xfId="0" applyFont="1" applyFill="1" applyBorder="1" applyAlignment="1">
      <alignment horizontal="left" vertical="center" wrapText="1"/>
    </xf>
    <xf numFmtId="0" fontId="12" fillId="24" borderId="13" xfId="0" applyFont="1" applyFill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" fontId="11" fillId="0" borderId="21" xfId="0" applyNumberFormat="1" applyFont="1" applyBorder="1" applyAlignment="1">
      <alignment horizontal="right" vertical="center" wrapText="1"/>
    </xf>
    <xf numFmtId="1" fontId="12" fillId="0" borderId="28" xfId="0" applyNumberFormat="1" applyFont="1" applyBorder="1" applyAlignment="1">
      <alignment horizontal="right" vertical="center" wrapText="1"/>
    </xf>
    <xf numFmtId="3" fontId="11" fillId="0" borderId="21" xfId="0" applyNumberFormat="1" applyFont="1" applyBorder="1" applyAlignment="1">
      <alignment horizontal="right" vertical="center" wrapText="1"/>
    </xf>
    <xf numFmtId="0" fontId="49" fillId="32" borderId="11" xfId="0" applyFont="1" applyFill="1" applyBorder="1" applyAlignment="1">
      <alignment horizontal="left" vertical="center"/>
    </xf>
    <xf numFmtId="0" fontId="12" fillId="0" borderId="11" xfId="0" applyFont="1" applyBorder="1" applyAlignment="1">
      <alignment vertical="center" wrapText="1"/>
    </xf>
    <xf numFmtId="0" fontId="78" fillId="32" borderId="11" xfId="0" applyFont="1" applyFill="1" applyBorder="1" applyAlignment="1">
      <alignment horizontal="left" vertical="center"/>
    </xf>
    <xf numFmtId="10" fontId="12" fillId="0" borderId="11" xfId="25" applyNumberFormat="1" applyFont="1" applyFill="1" applyBorder="1" applyAlignment="1">
      <alignment horizontal="left"/>
    </xf>
    <xf numFmtId="2" fontId="12" fillId="0" borderId="11" xfId="0" applyNumberFormat="1" applyFont="1" applyBorder="1" applyAlignment="1">
      <alignment horizontal="center"/>
    </xf>
    <xf numFmtId="0" fontId="11" fillId="24" borderId="34" xfId="0" applyFont="1" applyFill="1" applyBorder="1" applyAlignment="1">
      <alignment horizontal="left" vertical="center" wrapText="1"/>
    </xf>
    <xf numFmtId="0" fontId="11" fillId="24" borderId="13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left" wrapText="1"/>
    </xf>
    <xf numFmtId="0" fontId="4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3" fontId="40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wrapText="1"/>
    </xf>
    <xf numFmtId="0" fontId="11" fillId="0" borderId="11" xfId="0" applyFont="1" applyBorder="1" applyAlignment="1">
      <alignment horizontal="center"/>
    </xf>
    <xf numFmtId="3" fontId="12" fillId="0" borderId="11" xfId="25" applyNumberFormat="1" applyFont="1" applyFill="1" applyBorder="1" applyAlignment="1">
      <alignment horizontal="center"/>
    </xf>
    <xf numFmtId="4" fontId="12" fillId="0" borderId="20" xfId="0" applyNumberFormat="1" applyFont="1" applyBorder="1" applyAlignment="1">
      <alignment horizontal="center" vertical="center" wrapText="1"/>
    </xf>
    <xf numFmtId="0" fontId="73" fillId="0" borderId="14" xfId="0" applyFont="1" applyBorder="1" applyAlignment="1">
      <alignment horizontal="center" vertical="center" wrapText="1"/>
    </xf>
    <xf numFmtId="0" fontId="73" fillId="0" borderId="1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4" fontId="12" fillId="0" borderId="21" xfId="0" applyNumberFormat="1" applyFont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3" fontId="34" fillId="0" borderId="0" xfId="0" applyNumberFormat="1" applyFont="1" applyAlignment="1">
      <alignment horizontal="center" vertical="center"/>
    </xf>
    <xf numFmtId="0" fontId="14" fillId="18" borderId="34" xfId="0" applyFont="1" applyFill="1" applyBorder="1" applyAlignment="1">
      <alignment horizontal="left" vertical="center" wrapText="1"/>
    </xf>
    <xf numFmtId="0" fontId="14" fillId="18" borderId="16" xfId="0" applyFont="1" applyFill="1" applyBorder="1" applyAlignment="1">
      <alignment horizontal="left" vertical="center" wrapText="1"/>
    </xf>
    <xf numFmtId="0" fontId="14" fillId="18" borderId="13" xfId="0" applyFont="1" applyFill="1" applyBorder="1" applyAlignment="1">
      <alignment horizontal="left" vertical="center" wrapText="1"/>
    </xf>
    <xf numFmtId="1" fontId="10" fillId="19" borderId="15" xfId="0" applyNumberFormat="1" applyFont="1" applyFill="1" applyBorder="1" applyAlignment="1">
      <alignment horizontal="center" vertical="center"/>
    </xf>
    <xf numFmtId="1" fontId="10" fillId="19" borderId="56" xfId="0" applyNumberFormat="1" applyFont="1" applyFill="1" applyBorder="1" applyAlignment="1">
      <alignment horizontal="center" vertical="center"/>
    </xf>
    <xf numFmtId="4" fontId="11" fillId="0" borderId="55" xfId="0" applyNumberFormat="1" applyFont="1" applyBorder="1" applyAlignment="1">
      <alignment horizontal="center" vertical="center" wrapText="1"/>
    </xf>
    <xf numFmtId="4" fontId="11" fillId="0" borderId="47" xfId="0" applyNumberFormat="1" applyFont="1" applyBorder="1" applyAlignment="1">
      <alignment horizontal="center" vertical="center" wrapText="1"/>
    </xf>
    <xf numFmtId="4" fontId="11" fillId="0" borderId="48" xfId="0" applyNumberFormat="1" applyFont="1" applyBorder="1" applyAlignment="1">
      <alignment horizontal="center" vertical="center" wrapText="1"/>
    </xf>
    <xf numFmtId="3" fontId="11" fillId="0" borderId="57" xfId="0" applyNumberFormat="1" applyFont="1" applyBorder="1" applyAlignment="1">
      <alignment horizontal="center" vertical="center" wrapText="1"/>
    </xf>
    <xf numFmtId="3" fontId="11" fillId="0" borderId="43" xfId="0" applyNumberFormat="1" applyFont="1" applyBorder="1" applyAlignment="1">
      <alignment horizontal="center" vertical="center" wrapText="1"/>
    </xf>
    <xf numFmtId="3" fontId="11" fillId="0" borderId="44" xfId="0" applyNumberFormat="1" applyFont="1" applyBorder="1" applyAlignment="1">
      <alignment horizontal="center" vertical="center" wrapText="1"/>
    </xf>
    <xf numFmtId="3" fontId="12" fillId="0" borderId="54" xfId="0" applyNumberFormat="1" applyFont="1" applyBorder="1" applyAlignment="1">
      <alignment horizontal="center" vertical="center" wrapText="1"/>
    </xf>
    <xf numFmtId="3" fontId="12" fillId="0" borderId="35" xfId="0" applyNumberFormat="1" applyFont="1" applyBorder="1" applyAlignment="1">
      <alignment horizontal="center" vertical="center" wrapText="1"/>
    </xf>
    <xf numFmtId="3" fontId="12" fillId="0" borderId="45" xfId="0" applyNumberFormat="1" applyFont="1" applyBorder="1" applyAlignment="1">
      <alignment horizontal="center" vertical="center" wrapText="1"/>
    </xf>
    <xf numFmtId="3" fontId="12" fillId="0" borderId="58" xfId="0" applyNumberFormat="1" applyFont="1" applyBorder="1" applyAlignment="1">
      <alignment horizontal="center" vertical="center" wrapText="1"/>
    </xf>
    <xf numFmtId="3" fontId="12" fillId="0" borderId="32" xfId="0" applyNumberFormat="1" applyFont="1" applyBorder="1" applyAlignment="1">
      <alignment horizontal="center" vertical="center" wrapText="1"/>
    </xf>
    <xf numFmtId="3" fontId="12" fillId="0" borderId="53" xfId="0" applyNumberFormat="1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10" fontId="11" fillId="0" borderId="54" xfId="25" applyNumberFormat="1" applyFont="1" applyBorder="1" applyAlignment="1">
      <alignment horizontal="center" vertical="center" wrapText="1"/>
    </xf>
    <xf numFmtId="10" fontId="11" fillId="0" borderId="35" xfId="25" applyNumberFormat="1" applyFont="1" applyBorder="1" applyAlignment="1">
      <alignment horizontal="center" vertical="center" wrapText="1"/>
    </xf>
    <xf numFmtId="10" fontId="11" fillId="0" borderId="45" xfId="25" applyNumberFormat="1" applyFont="1" applyBorder="1" applyAlignment="1">
      <alignment horizontal="center" vertical="center" wrapText="1"/>
    </xf>
    <xf numFmtId="3" fontId="11" fillId="0" borderId="54" xfId="0" applyNumberFormat="1" applyFont="1" applyBorder="1" applyAlignment="1">
      <alignment horizontal="center" vertical="center" wrapText="1"/>
    </xf>
    <xf numFmtId="3" fontId="11" fillId="0" borderId="35" xfId="0" applyNumberFormat="1" applyFont="1" applyBorder="1" applyAlignment="1">
      <alignment horizontal="center" vertical="center" wrapText="1"/>
    </xf>
    <xf numFmtId="3" fontId="11" fillId="0" borderId="45" xfId="0" applyNumberFormat="1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3" fontId="11" fillId="0" borderId="14" xfId="0" applyNumberFormat="1" applyFont="1" applyBorder="1" applyAlignment="1">
      <alignment horizontal="center" vertical="center" wrapText="1"/>
    </xf>
    <xf numFmtId="10" fontId="11" fillId="0" borderId="14" xfId="25" applyNumberFormat="1" applyFont="1" applyBorder="1" applyAlignment="1">
      <alignment horizontal="center" vertical="center" wrapText="1"/>
    </xf>
    <xf numFmtId="4" fontId="11" fillId="0" borderId="46" xfId="0" applyNumberFormat="1" applyFont="1" applyBorder="1" applyAlignment="1">
      <alignment horizontal="center" vertical="center" wrapText="1"/>
    </xf>
    <xf numFmtId="3" fontId="12" fillId="0" borderId="14" xfId="0" applyNumberFormat="1" applyFont="1" applyBorder="1" applyAlignment="1">
      <alignment horizontal="center" vertical="center" wrapText="1"/>
    </xf>
    <xf numFmtId="3" fontId="12" fillId="0" borderId="40" xfId="0" applyNumberFormat="1" applyFont="1" applyBorder="1" applyAlignment="1">
      <alignment horizontal="center" vertical="center" wrapText="1"/>
    </xf>
    <xf numFmtId="3" fontId="11" fillId="0" borderId="42" xfId="0" applyNumberFormat="1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/>
    </xf>
    <xf numFmtId="0" fontId="12" fillId="0" borderId="42" xfId="0" applyFont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64" fillId="13" borderId="35" xfId="0" applyFont="1" applyFill="1" applyBorder="1" applyAlignment="1">
      <alignment horizontal="center"/>
    </xf>
    <xf numFmtId="0" fontId="64" fillId="13" borderId="12" xfId="0" applyFont="1" applyFill="1" applyBorder="1" applyAlignment="1">
      <alignment horizontal="center"/>
    </xf>
    <xf numFmtId="0" fontId="37" fillId="0" borderId="0" xfId="0" applyFont="1" applyAlignment="1">
      <alignment horizontal="left" wrapText="1"/>
    </xf>
    <xf numFmtId="0" fontId="48" fillId="14" borderId="0" xfId="0" applyFont="1" applyFill="1" applyAlignment="1">
      <alignment horizontal="left"/>
    </xf>
  </cellXfs>
  <cellStyles count="5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" xfId="9" builtinId="3"/>
    <cellStyle name="Dziesiętny 2" xfId="46" xr:uid="{00000000-0005-0000-0000-000009000000}"/>
    <cellStyle name="Kolumna" xfId="49" xr:uid="{00000000-0005-0000-0000-00000A000000}"/>
    <cellStyle name="Kolumna 2" xfId="52" xr:uid="{00000000-0005-0000-0000-00000B000000}"/>
    <cellStyle name="Komórka połączona" xfId="10" builtinId="24" customBuiltin="1"/>
    <cellStyle name="Komórka zaznaczona" xfId="11" builtinId="23" customBuiltin="1"/>
    <cellStyle name="Migliaia (0)_10 Tigaz Tariffe" xfId="12" xr:uid="{00000000-0005-0000-0000-00000E000000}"/>
    <cellStyle name="Migliaia_10 Tigaz Tariffe" xfId="13" xr:uid="{00000000-0005-0000-0000-00000F000000}"/>
    <cellStyle name="Milliers [0]_DCF1204" xfId="14" xr:uid="{00000000-0005-0000-0000-000010000000}"/>
    <cellStyle name="Milliers_ANAFI" xfId="15" xr:uid="{00000000-0005-0000-0000-000011000000}"/>
    <cellStyle name="Monétaire [0]_DCF1204" xfId="16" xr:uid="{00000000-0005-0000-0000-000012000000}"/>
    <cellStyle name="Monétaire_ANAFI" xfId="17" xr:uid="{00000000-0005-0000-0000-000013000000}"/>
    <cellStyle name="Nagłówek 1" xfId="18" builtinId="16" customBuiltin="1"/>
    <cellStyle name="Nagłówek 2" xfId="19" builtinId="17" customBuiltin="1"/>
    <cellStyle name="Nagłówek 3" xfId="20" builtinId="18" customBuiltin="1"/>
    <cellStyle name="Nagłówek 4" xfId="21" builtinId="19" customBuiltin="1"/>
    <cellStyle name="Normal_A" xfId="22" xr:uid="{00000000-0005-0000-0000-000018000000}"/>
    <cellStyle name="Normale_10 Tigaz Tariffe" xfId="23" xr:uid="{00000000-0005-0000-0000-000019000000}"/>
    <cellStyle name="Normalny" xfId="0" builtinId="0"/>
    <cellStyle name="Normalny 2" xfId="35" xr:uid="{00000000-0005-0000-0000-00001B000000}"/>
    <cellStyle name="Normalny 2 2" xfId="47" xr:uid="{00000000-0005-0000-0000-00001C000000}"/>
    <cellStyle name="Normalny 2 3" xfId="50" xr:uid="{00000000-0005-0000-0000-00001D000000}"/>
    <cellStyle name="Normalny 3" xfId="38" xr:uid="{00000000-0005-0000-0000-00001E000000}"/>
    <cellStyle name="Normalny 3 2" xfId="45" xr:uid="{00000000-0005-0000-0000-00001F000000}"/>
    <cellStyle name="Normalny 4" xfId="39" xr:uid="{00000000-0005-0000-0000-000020000000}"/>
    <cellStyle name="Normalny 5" xfId="37" xr:uid="{00000000-0005-0000-0000-000021000000}"/>
    <cellStyle name="Normalny 6" xfId="44" xr:uid="{00000000-0005-0000-0000-000022000000}"/>
    <cellStyle name="Normalny 6 2" xfId="40" xr:uid="{00000000-0005-0000-0000-000023000000}"/>
    <cellStyle name="Normalny 7" xfId="48" xr:uid="{00000000-0005-0000-0000-000024000000}"/>
    <cellStyle name="Normalny 8" xfId="43" xr:uid="{00000000-0005-0000-0000-000025000000}"/>
    <cellStyle name="Normalny 9" xfId="41" xr:uid="{00000000-0005-0000-0000-000026000000}"/>
    <cellStyle name="Obliczenia" xfId="24" builtinId="22" customBuiltin="1"/>
    <cellStyle name="Procentowy" xfId="25" builtinId="5"/>
    <cellStyle name="Procentowy 2" xfId="51" xr:uid="{00000000-0005-0000-0000-000029000000}"/>
    <cellStyle name="Procentowy 2 2" xfId="42" xr:uid="{00000000-0005-0000-0000-00002A000000}"/>
    <cellStyle name="style1402052376171" xfId="34" xr:uid="{00000000-0005-0000-0000-00002B000000}"/>
    <cellStyle name="style1402052381546" xfId="33" xr:uid="{00000000-0005-0000-0000-00002C000000}"/>
    <cellStyle name="Suma" xfId="26" builtinId="25" customBuiltin="1"/>
    <cellStyle name="Tekst objaśnienia" xfId="27" builtinId="53" customBuiltin="1"/>
    <cellStyle name="Tekst ostrzeżenia" xfId="28" builtinId="11" customBuiltin="1"/>
    <cellStyle name="Tytuł" xfId="29" builtinId="15" customBuiltin="1"/>
    <cellStyle name="Uwaga" xfId="30" builtinId="10" customBuiltin="1"/>
    <cellStyle name="Valuta (0)_10 Tigaz Tariffe" xfId="31" xr:uid="{00000000-0005-0000-0000-000032000000}"/>
    <cellStyle name="Valuta_10 Tigaz Tariffe" xfId="32" xr:uid="{00000000-0005-0000-0000-000033000000}"/>
    <cellStyle name="Walutowy 2" xfId="36" xr:uid="{00000000-0005-0000-0000-000034000000}"/>
  </cellStyles>
  <dxfs count="2">
    <dxf>
      <font>
        <color theme="0" tint="-0.2499465926084170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F9F"/>
      <color rgb="FF8CA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owy%20model\Model_bazow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ORKAREA\Richard%20(HD)\Techniq%20(HD)\EXCEL\RJ%20new%20files\RJ%20files%20for%20AMM%20meeting\RJ%20value%203FAG%20report\Richard%20(HD)\Techniq%20(HD)\MODEL\BVT%20DCF%20Model%209902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ES\OUTILS\EVALUATI\ANAFI\ANAF_F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ES\OUTILS\EVALUATI\ANAFI\ANFR02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ES\OUTILS\EVALUATI\ANAFI\ANUK02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DVISORY\MANAGERS\MARTIN\PER\AAMULEHT\PRES1195\TURUV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  <sheetName val="Wykaz_odwolan"/>
      <sheetName val="Dane wejściowe"/>
      <sheetName val="ITERACJE"/>
      <sheetName val="Affordability"/>
      <sheetName val="Dochód mieszkańców"/>
      <sheetName val="Naklady inwestycyjne"/>
      <sheetName val="Harmonogram"/>
      <sheetName val="inwestycje w 2004"/>
      <sheetName val="Aport"/>
      <sheetName val="finansowanie VAT i pomostowe"/>
      <sheetName val="Finansowanie"/>
      <sheetName val="Dotacja FS"/>
      <sheetName val="PZF"/>
      <sheetName val="NFOŚ etap 1"/>
      <sheetName val="NFOŚ etap 2"/>
      <sheetName val="Kredyty komercyjny 2"/>
      <sheetName val="płatnicza etap 1"/>
      <sheetName val="OPŁATY"/>
      <sheetName val="platnicza etap 2"/>
      <sheetName val="OZ"/>
      <sheetName val="PPS"/>
      <sheetName val="KE RAZEM"/>
      <sheetName val="KE_osad"/>
      <sheetName val="KE_osadowka"/>
      <sheetName val="BEP"/>
      <sheetName val="Cena - Wniosek"/>
      <sheetName val="Przeds"/>
      <sheetName val="Rezerwy"/>
      <sheetName val="VAT"/>
      <sheetName val="KON"/>
      <sheetName val="Amort Maj Spółki - bezp"/>
      <sheetName val="Amort Maj Spółki - wydzial"/>
      <sheetName val="Amort Maj Spółki - inni"/>
      <sheetName val="Amortyzacja"/>
      <sheetName val="RW_n"/>
      <sheetName val="B_n"/>
      <sheetName val="rozd_16"/>
      <sheetName val="PPextended_n"/>
      <sheetName val="Obciazenie_mieszkancow"/>
      <sheetName val="NPV systemu"/>
      <sheetName val="Wykresy"/>
      <sheetName val="Wskaźniki-now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54">
          <cell r="B54">
            <v>0.19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s"/>
      <sheetName val="DCF"/>
      <sheetName val="Normative FCF"/>
      <sheetName val="Cash Flow Fade"/>
      <sheetName val="Graphs"/>
      <sheetName val="FUNKCJONOWANIE JRP -propozycja"/>
    </sheetNames>
    <sheetDataSet>
      <sheetData sheetId="0" refreshError="1">
        <row r="7">
          <cell r="F7" t="str">
            <v>COMPANY</v>
          </cell>
        </row>
        <row r="8">
          <cell r="F8" t="str">
            <v>millions de francs</v>
          </cell>
        </row>
        <row r="10">
          <cell r="F10">
            <v>36160</v>
          </cell>
        </row>
        <row r="13">
          <cell r="F13">
            <v>2004</v>
          </cell>
          <cell r="I13">
            <v>5</v>
          </cell>
        </row>
        <row r="33">
          <cell r="F33">
            <v>8.2500000000000004E-2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d'emploi"/>
      <sheetName val="mode d_emploi"/>
      <sheetName val="dem_t 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d'emploi"/>
      <sheetName val="ANAFI"/>
      <sheetName val="Graph"/>
      <sheetName val="AEF"/>
      <sheetName val="Macro"/>
      <sheetName val="mode d_emploi"/>
      <sheetName val="KOSZTY"/>
    </sheetNames>
    <sheetDataSet>
      <sheetData sheetId="0" refreshError="1">
        <row r="34">
          <cell r="C34" t="str">
            <v>FRF</v>
          </cell>
          <cell r="D34" t="str">
            <v>millions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er guide"/>
      <sheetName val="ANAFANG"/>
      <sheetName val="GRAPH"/>
      <sheetName val="GRAPH (2)"/>
      <sheetName val="Macro"/>
      <sheetName val="Wolumen"/>
    </sheetNames>
    <sheetDataSet>
      <sheetData sheetId="0" refreshError="1">
        <row r="13">
          <cell r="D13">
            <v>36033</v>
          </cell>
        </row>
        <row r="14">
          <cell r="D14" t="str">
            <v>COMPANY 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 Sphinx"/>
      <sheetName val="Inputs Sphinx"/>
      <sheetName val="PRZYCHODYNP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8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808080"/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8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808080"/>
          </a:outerShdw>
        </a:effec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upt.gov.pl/index.php?option=com_content&amp;view=article&amp;id=692&amp;Itemid=411%20Pobranie%20z%20dnia%2004-01-202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tabColor theme="6" tint="-0.249977111117893"/>
  </sheetPr>
  <dimension ref="B2:C11"/>
  <sheetViews>
    <sheetView showGridLines="0" tabSelected="1" workbookViewId="0">
      <selection activeCell="B2" sqref="B2"/>
    </sheetView>
  </sheetViews>
  <sheetFormatPr defaultRowHeight="12.75"/>
  <cols>
    <col min="2" max="2" width="24.7109375" bestFit="1" customWidth="1"/>
    <col min="3" max="3" width="103.7109375" customWidth="1"/>
  </cols>
  <sheetData>
    <row r="2" spans="2:3" ht="53.25" customHeight="1"/>
    <row r="3" spans="2:3">
      <c r="B3" s="286" t="s">
        <v>115</v>
      </c>
      <c r="C3" s="287" t="s">
        <v>266</v>
      </c>
    </row>
    <row r="4" spans="2:3" ht="6" customHeight="1">
      <c r="B4" s="229"/>
      <c r="C4" s="230"/>
    </row>
    <row r="5" spans="2:3" s="1" customFormat="1" ht="46.5" customHeight="1">
      <c r="B5" s="499" t="s">
        <v>449</v>
      </c>
      <c r="C5" s="500" t="s">
        <v>472</v>
      </c>
    </row>
    <row r="6" spans="2:3" s="1" customFormat="1" ht="25.5" customHeight="1">
      <c r="B6" s="499" t="s">
        <v>116</v>
      </c>
      <c r="C6" s="500" t="s">
        <v>459</v>
      </c>
    </row>
    <row r="7" spans="2:3" s="1" customFormat="1" ht="48">
      <c r="B7" s="499" t="s">
        <v>117</v>
      </c>
      <c r="C7" s="384" t="s">
        <v>460</v>
      </c>
    </row>
    <row r="8" spans="2:3" s="1" customFormat="1" ht="25.5" customHeight="1">
      <c r="B8" s="499" t="s">
        <v>118</v>
      </c>
      <c r="C8" s="500" t="s">
        <v>355</v>
      </c>
    </row>
    <row r="9" spans="2:3" s="1" customFormat="1" ht="25.5" customHeight="1">
      <c r="B9" s="499" t="s">
        <v>166</v>
      </c>
      <c r="C9" s="500" t="s">
        <v>461</v>
      </c>
    </row>
    <row r="10" spans="2:3" s="1" customFormat="1" ht="25.5" customHeight="1">
      <c r="B10" s="499" t="s">
        <v>260</v>
      </c>
      <c r="C10" s="500" t="s">
        <v>267</v>
      </c>
    </row>
    <row r="11" spans="2:3" s="36" customFormat="1" ht="30" customHeight="1">
      <c r="B11" s="501" t="s">
        <v>231</v>
      </c>
      <c r="C11" s="384" t="s">
        <v>407</v>
      </c>
    </row>
  </sheetData>
  <phoneticPr fontId="5" type="noConversion"/>
  <hyperlinks>
    <hyperlink ref="C11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rgb="FF002060"/>
    <pageSetUpPr fitToPage="1"/>
  </sheetPr>
  <dimension ref="A2:EU849"/>
  <sheetViews>
    <sheetView showGridLines="0" zoomScale="88" zoomScaleNormal="88" zoomScalePageLayoutView="80" workbookViewId="0">
      <selection activeCell="A2" sqref="A2"/>
    </sheetView>
  </sheetViews>
  <sheetFormatPr defaultColWidth="9.140625" defaultRowHeight="12" outlineLevelRow="2" outlineLevelCol="1"/>
  <cols>
    <col min="1" max="1" width="13.5703125" style="1" customWidth="1"/>
    <col min="2" max="2" width="73.5703125" style="1" customWidth="1"/>
    <col min="3" max="3" width="14.7109375" style="1" customWidth="1"/>
    <col min="4" max="4" width="46.7109375" style="1" customWidth="1" outlineLevel="1"/>
    <col min="5" max="5" width="16.5703125" style="1" customWidth="1"/>
    <col min="6" max="7" width="20.28515625" style="1" customWidth="1"/>
    <col min="8" max="8" width="15" style="1" customWidth="1"/>
    <col min="9" max="9" width="14.5703125" style="1" customWidth="1"/>
    <col min="10" max="10" width="16.85546875" style="1" customWidth="1"/>
    <col min="11" max="11" width="15.28515625" style="1" customWidth="1"/>
    <col min="12" max="12" width="13.85546875" style="1" customWidth="1"/>
    <col min="13" max="13" width="13.42578125" style="1" customWidth="1"/>
    <col min="14" max="14" width="16.140625" style="1" customWidth="1"/>
    <col min="15" max="15" width="13.42578125" style="1" customWidth="1"/>
    <col min="16" max="16" width="14.140625" style="1" customWidth="1"/>
    <col min="17" max="24" width="13.42578125" style="1" customWidth="1"/>
    <col min="25" max="26" width="11.85546875" style="1" customWidth="1"/>
    <col min="27" max="27" width="12.7109375" style="1" customWidth="1"/>
    <col min="28" max="28" width="12.5703125" style="1" customWidth="1"/>
    <col min="29" max="34" width="11.85546875" style="1" customWidth="1"/>
    <col min="35" max="35" width="14.140625" style="1" customWidth="1"/>
    <col min="36" max="40" width="11.85546875" style="1" customWidth="1"/>
    <col min="41" max="41" width="26.5703125" style="1" customWidth="1"/>
    <col min="42" max="42" width="13" style="1" customWidth="1"/>
    <col min="43" max="43" width="14.28515625" style="1" customWidth="1"/>
    <col min="44" max="44" width="17" style="1" customWidth="1"/>
    <col min="45" max="49" width="12.42578125" style="1" customWidth="1"/>
    <col min="50" max="16384" width="9.140625" style="1"/>
  </cols>
  <sheetData>
    <row r="2" spans="1:21">
      <c r="B2" s="213" t="s">
        <v>431</v>
      </c>
      <c r="C2" s="214"/>
      <c r="D2" s="214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</row>
    <row r="3" spans="1:21"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1">
      <c r="A4" s="227" t="s">
        <v>17</v>
      </c>
      <c r="B4" s="81" t="s">
        <v>24</v>
      </c>
      <c r="C4" s="228" t="s">
        <v>126</v>
      </c>
      <c r="D4" s="228" t="s">
        <v>114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21" ht="5.25" customHeight="1">
      <c r="A5" s="229"/>
      <c r="B5" s="229"/>
      <c r="C5" s="230"/>
      <c r="D5" s="230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21">
      <c r="B6" s="224" t="s">
        <v>11</v>
      </c>
      <c r="C6" s="223" t="s">
        <v>88</v>
      </c>
      <c r="D6" s="231"/>
      <c r="E6" s="5">
        <v>2024</v>
      </c>
      <c r="F6" s="4"/>
      <c r="G6" s="4"/>
      <c r="H6" s="4"/>
      <c r="I6" s="4"/>
      <c r="J6" s="4"/>
      <c r="K6" s="4"/>
      <c r="L6" s="4"/>
      <c r="M6" s="4"/>
      <c r="N6" s="4"/>
      <c r="O6" s="4"/>
    </row>
    <row r="7" spans="1:21">
      <c r="B7" s="224" t="s">
        <v>202</v>
      </c>
      <c r="C7" s="223" t="s">
        <v>88</v>
      </c>
      <c r="D7" s="232"/>
      <c r="E7" s="5">
        <v>2024</v>
      </c>
    </row>
    <row r="8" spans="1:21">
      <c r="B8" s="224" t="s">
        <v>203</v>
      </c>
      <c r="C8" s="223" t="s">
        <v>88</v>
      </c>
      <c r="D8" s="232"/>
      <c r="E8" s="7">
        <f>E7+E9</f>
        <v>2039</v>
      </c>
      <c r="F8" s="8"/>
    </row>
    <row r="9" spans="1:21">
      <c r="B9" s="224" t="s">
        <v>3</v>
      </c>
      <c r="C9" s="475" t="s">
        <v>27</v>
      </c>
      <c r="D9" s="233"/>
      <c r="E9" s="5">
        <v>15</v>
      </c>
    </row>
    <row r="10" spans="1:21">
      <c r="B10" s="224" t="s">
        <v>170</v>
      </c>
      <c r="C10" s="475" t="s">
        <v>27</v>
      </c>
      <c r="D10" s="234"/>
      <c r="E10" s="5" t="s">
        <v>343</v>
      </c>
    </row>
    <row r="11" spans="1:21">
      <c r="N11" s="9"/>
    </row>
    <row r="12" spans="1:21">
      <c r="A12" s="227" t="s">
        <v>18</v>
      </c>
      <c r="B12" s="81" t="s">
        <v>113</v>
      </c>
      <c r="C12" s="81"/>
      <c r="D12" s="81"/>
      <c r="E12" s="71">
        <v>1</v>
      </c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</row>
    <row r="13" spans="1:21" ht="2.25" customHeight="1">
      <c r="A13" s="229"/>
      <c r="B13" s="229"/>
      <c r="C13" s="229"/>
      <c r="D13" s="229"/>
      <c r="E13" s="71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</row>
    <row r="14" spans="1:21">
      <c r="B14" s="76" t="s">
        <v>359</v>
      </c>
      <c r="C14" s="76"/>
      <c r="D14" s="76"/>
      <c r="E14" s="77">
        <f>E7</f>
        <v>2024</v>
      </c>
      <c r="F14" s="77">
        <f>E14+1</f>
        <v>2025</v>
      </c>
      <c r="G14" s="77">
        <f t="shared" ref="G14:S14" si="0">F14+1</f>
        <v>2026</v>
      </c>
      <c r="H14" s="77">
        <f t="shared" si="0"/>
        <v>2027</v>
      </c>
      <c r="I14" s="77">
        <f t="shared" si="0"/>
        <v>2028</v>
      </c>
      <c r="J14" s="77">
        <f t="shared" si="0"/>
        <v>2029</v>
      </c>
      <c r="K14" s="77">
        <f t="shared" si="0"/>
        <v>2030</v>
      </c>
      <c r="L14" s="77">
        <f t="shared" si="0"/>
        <v>2031</v>
      </c>
      <c r="M14" s="77">
        <f t="shared" si="0"/>
        <v>2032</v>
      </c>
      <c r="N14" s="77">
        <f t="shared" si="0"/>
        <v>2033</v>
      </c>
      <c r="O14" s="77">
        <f t="shared" si="0"/>
        <v>2034</v>
      </c>
      <c r="P14" s="77">
        <f t="shared" si="0"/>
        <v>2035</v>
      </c>
      <c r="Q14" s="77">
        <f t="shared" si="0"/>
        <v>2036</v>
      </c>
      <c r="R14" s="77">
        <f t="shared" si="0"/>
        <v>2037</v>
      </c>
      <c r="S14" s="77">
        <f t="shared" si="0"/>
        <v>2038</v>
      </c>
      <c r="T14" s="77">
        <f t="shared" ref="T14" si="1">S14+1</f>
        <v>2039</v>
      </c>
      <c r="U14" s="77">
        <f t="shared" ref="U14" si="2">T14+1</f>
        <v>2040</v>
      </c>
    </row>
    <row r="15" spans="1:21" s="25" customFormat="1">
      <c r="A15" s="82"/>
      <c r="B15" s="226" t="s">
        <v>112</v>
      </c>
      <c r="C15" s="225" t="s">
        <v>1</v>
      </c>
      <c r="D15" s="476" t="s">
        <v>445</v>
      </c>
      <c r="E15" s="235">
        <v>3.0316805481730214E-2</v>
      </c>
      <c r="F15" s="235">
        <v>3.4511485538106568E-2</v>
      </c>
      <c r="G15" s="235">
        <v>3.2693381095697305E-2</v>
      </c>
      <c r="H15" s="235">
        <v>3.2881325996451771E-2</v>
      </c>
      <c r="I15" s="235">
        <v>3.2065043018405959E-2</v>
      </c>
      <c r="J15" s="235">
        <v>3.2247259889161439E-2</v>
      </c>
      <c r="K15" s="235">
        <v>3.1420522638210269E-2</v>
      </c>
      <c r="L15" s="235">
        <v>3.1618745552850491E-2</v>
      </c>
      <c r="M15" s="235">
        <v>3.0801303386341239E-2</v>
      </c>
      <c r="N15" s="235">
        <v>3.09738501425183E-2</v>
      </c>
      <c r="O15" s="235">
        <v>3.0126760459558533E-2</v>
      </c>
      <c r="P15" s="235">
        <v>2.9259718465759921E-2</v>
      </c>
      <c r="Q15" s="235">
        <v>2.8391519012207933E-2</v>
      </c>
      <c r="R15" s="235">
        <v>2.7506816674384371E-2</v>
      </c>
      <c r="S15" s="235">
        <v>2.5601917624487269E-2</v>
      </c>
      <c r="T15" s="235">
        <v>2.5689440113976003E-2</v>
      </c>
      <c r="U15" s="235">
        <v>2.4764668459036576E-2</v>
      </c>
    </row>
    <row r="16" spans="1:21">
      <c r="A16" s="82"/>
      <c r="B16" s="226" t="s">
        <v>15</v>
      </c>
      <c r="C16" s="225" t="s">
        <v>1</v>
      </c>
      <c r="D16" s="476" t="s">
        <v>449</v>
      </c>
      <c r="E16" s="115">
        <v>0.04</v>
      </c>
      <c r="F16" s="116">
        <f>IF(F$14="","",E16)</f>
        <v>0.04</v>
      </c>
      <c r="G16" s="116">
        <f t="shared" ref="G16:S16" si="3">IF(G$14="","",F16)</f>
        <v>0.04</v>
      </c>
      <c r="H16" s="116">
        <f t="shared" si="3"/>
        <v>0.04</v>
      </c>
      <c r="I16" s="116">
        <f t="shared" si="3"/>
        <v>0.04</v>
      </c>
      <c r="J16" s="116">
        <f t="shared" si="3"/>
        <v>0.04</v>
      </c>
      <c r="K16" s="116">
        <f t="shared" si="3"/>
        <v>0.04</v>
      </c>
      <c r="L16" s="116">
        <f t="shared" si="3"/>
        <v>0.04</v>
      </c>
      <c r="M16" s="116">
        <f t="shared" si="3"/>
        <v>0.04</v>
      </c>
      <c r="N16" s="116">
        <f t="shared" si="3"/>
        <v>0.04</v>
      </c>
      <c r="O16" s="116">
        <f t="shared" si="3"/>
        <v>0.04</v>
      </c>
      <c r="P16" s="116">
        <f t="shared" si="3"/>
        <v>0.04</v>
      </c>
      <c r="Q16" s="116">
        <f t="shared" si="3"/>
        <v>0.04</v>
      </c>
      <c r="R16" s="116">
        <f t="shared" si="3"/>
        <v>0.04</v>
      </c>
      <c r="S16" s="116">
        <f t="shared" si="3"/>
        <v>0.04</v>
      </c>
      <c r="T16" s="116">
        <f t="shared" ref="T16" si="4">IF(T$14="","",S16)</f>
        <v>0.04</v>
      </c>
      <c r="U16" s="116">
        <f t="shared" ref="U16" si="5">IF(U$14="","",T16)</f>
        <v>0.04</v>
      </c>
    </row>
    <row r="17" spans="1:21">
      <c r="A17" s="82"/>
      <c r="B17" s="226" t="s">
        <v>16</v>
      </c>
      <c r="C17" s="225" t="s">
        <v>1</v>
      </c>
      <c r="D17" s="476" t="s">
        <v>449</v>
      </c>
      <c r="E17" s="115">
        <v>0.03</v>
      </c>
      <c r="F17" s="115">
        <f t="shared" ref="F17" si="6">E17</f>
        <v>0.03</v>
      </c>
      <c r="G17" s="115">
        <f t="shared" ref="G17:S17" si="7">F17</f>
        <v>0.03</v>
      </c>
      <c r="H17" s="115">
        <f t="shared" si="7"/>
        <v>0.03</v>
      </c>
      <c r="I17" s="115">
        <f t="shared" si="7"/>
        <v>0.03</v>
      </c>
      <c r="J17" s="115">
        <f t="shared" si="7"/>
        <v>0.03</v>
      </c>
      <c r="K17" s="115">
        <f t="shared" si="7"/>
        <v>0.03</v>
      </c>
      <c r="L17" s="115">
        <f t="shared" si="7"/>
        <v>0.03</v>
      </c>
      <c r="M17" s="115">
        <f t="shared" si="7"/>
        <v>0.03</v>
      </c>
      <c r="N17" s="115">
        <f t="shared" si="7"/>
        <v>0.03</v>
      </c>
      <c r="O17" s="115">
        <f t="shared" si="7"/>
        <v>0.03</v>
      </c>
      <c r="P17" s="115">
        <f t="shared" si="7"/>
        <v>0.03</v>
      </c>
      <c r="Q17" s="115">
        <f t="shared" si="7"/>
        <v>0.03</v>
      </c>
      <c r="R17" s="115">
        <f t="shared" si="7"/>
        <v>0.03</v>
      </c>
      <c r="S17" s="115">
        <f t="shared" si="7"/>
        <v>0.03</v>
      </c>
      <c r="T17" s="115">
        <f t="shared" ref="T17" si="8">S17</f>
        <v>0.03</v>
      </c>
      <c r="U17" s="115">
        <f t="shared" ref="U17" si="9">T17</f>
        <v>0.03</v>
      </c>
    </row>
    <row r="18" spans="1:21">
      <c r="J18" s="39"/>
      <c r="K18" s="39"/>
      <c r="L18" s="39"/>
      <c r="M18" s="39"/>
      <c r="N18" s="39"/>
      <c r="O18" s="39"/>
      <c r="P18" s="39"/>
      <c r="Q18" s="39"/>
      <c r="R18" s="39"/>
      <c r="S18" s="39"/>
    </row>
    <row r="19" spans="1:21"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</row>
    <row r="20" spans="1:21">
      <c r="A20" s="227" t="s">
        <v>19</v>
      </c>
      <c r="B20" s="81" t="s">
        <v>141</v>
      </c>
      <c r="C20" s="81"/>
      <c r="D20" s="81"/>
      <c r="E20" s="71"/>
      <c r="F20" s="236" t="s">
        <v>297</v>
      </c>
      <c r="G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</row>
    <row r="21" spans="1:21" ht="5.25" customHeight="1">
      <c r="A21" s="229"/>
      <c r="B21" s="229"/>
      <c r="C21" s="229"/>
      <c r="D21" s="229"/>
      <c r="E21" s="71"/>
      <c r="F21" s="72"/>
      <c r="G21" s="72"/>
      <c r="H21" s="236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</row>
    <row r="22" spans="1:21">
      <c r="A22" s="82"/>
      <c r="B22" s="226"/>
      <c r="C22" s="225"/>
      <c r="D22" s="476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</row>
    <row r="23" spans="1:21">
      <c r="A23" s="82"/>
      <c r="B23" s="477" t="s">
        <v>146</v>
      </c>
      <c r="C23" s="225"/>
      <c r="D23" s="476"/>
      <c r="E23" s="77">
        <f t="shared" ref="E23:U23" si="10">E14</f>
        <v>2024</v>
      </c>
      <c r="F23" s="77">
        <f t="shared" si="10"/>
        <v>2025</v>
      </c>
      <c r="G23" s="77">
        <f t="shared" si="10"/>
        <v>2026</v>
      </c>
      <c r="H23" s="77">
        <f t="shared" si="10"/>
        <v>2027</v>
      </c>
      <c r="I23" s="77">
        <f t="shared" si="10"/>
        <v>2028</v>
      </c>
      <c r="J23" s="77">
        <f t="shared" si="10"/>
        <v>2029</v>
      </c>
      <c r="K23" s="77">
        <f t="shared" si="10"/>
        <v>2030</v>
      </c>
      <c r="L23" s="77">
        <f t="shared" si="10"/>
        <v>2031</v>
      </c>
      <c r="M23" s="77">
        <f t="shared" si="10"/>
        <v>2032</v>
      </c>
      <c r="N23" s="77">
        <f t="shared" si="10"/>
        <v>2033</v>
      </c>
      <c r="O23" s="77">
        <f t="shared" si="10"/>
        <v>2034</v>
      </c>
      <c r="P23" s="77">
        <f t="shared" si="10"/>
        <v>2035</v>
      </c>
      <c r="Q23" s="77">
        <f t="shared" si="10"/>
        <v>2036</v>
      </c>
      <c r="R23" s="77">
        <f t="shared" si="10"/>
        <v>2037</v>
      </c>
      <c r="S23" s="77">
        <f t="shared" si="10"/>
        <v>2038</v>
      </c>
      <c r="T23" s="77">
        <f t="shared" si="10"/>
        <v>2039</v>
      </c>
      <c r="U23" s="77">
        <f t="shared" si="10"/>
        <v>2040</v>
      </c>
    </row>
    <row r="24" spans="1:21">
      <c r="A24" s="82"/>
      <c r="B24" s="226" t="s">
        <v>143</v>
      </c>
      <c r="C24" s="225" t="s">
        <v>142</v>
      </c>
      <c r="D24" s="476" t="s">
        <v>445</v>
      </c>
      <c r="E24" s="455">
        <v>0.53680279384407814</v>
      </c>
      <c r="F24" s="455">
        <v>0.54156862288920893</v>
      </c>
      <c r="G24" s="455">
        <v>0.55470352736532147</v>
      </c>
      <c r="H24" s="455">
        <v>0.57001844157540549</v>
      </c>
      <c r="I24" s="455">
        <v>0.58492710568900563</v>
      </c>
      <c r="J24" s="455">
        <v>0.60031364876606252</v>
      </c>
      <c r="K24" s="455">
        <v>0.61571291514383863</v>
      </c>
      <c r="L24" s="455">
        <v>0.63159695865724397</v>
      </c>
      <c r="M24" s="455">
        <v>0.64747304388741567</v>
      </c>
      <c r="N24" s="455">
        <v>0.66385087222902028</v>
      </c>
      <c r="O24" s="455">
        <v>0.68020884992407094</v>
      </c>
      <c r="P24" s="455">
        <v>0.69706379951060127</v>
      </c>
      <c r="Q24" s="455">
        <v>0.71386401880090966</v>
      </c>
      <c r="R24" s="455">
        <v>0.73057398697127018</v>
      </c>
      <c r="S24" s="455">
        <v>0.74716767116400573</v>
      </c>
      <c r="T24" s="455">
        <v>0.76360943448859375</v>
      </c>
      <c r="U24" s="455">
        <v>0.77924932715984041</v>
      </c>
    </row>
    <row r="25" spans="1:21">
      <c r="A25" s="82"/>
      <c r="B25" s="226" t="s">
        <v>144</v>
      </c>
      <c r="C25" s="225" t="s">
        <v>142</v>
      </c>
      <c r="D25" s="476" t="s">
        <v>445</v>
      </c>
      <c r="E25" s="455">
        <v>0.97769802772198711</v>
      </c>
      <c r="F25" s="455">
        <v>0.98637820172875268</v>
      </c>
      <c r="G25" s="455">
        <v>1.0103012705873362</v>
      </c>
      <c r="H25" s="455">
        <v>1.0381948687385405</v>
      </c>
      <c r="I25" s="455">
        <v>1.0653485491347536</v>
      </c>
      <c r="J25" s="455">
        <v>1.0933726074899108</v>
      </c>
      <c r="K25" s="455">
        <v>1.1214198392453594</v>
      </c>
      <c r="L25" s="455">
        <v>1.1503500128461648</v>
      </c>
      <c r="M25" s="455">
        <v>1.1792656917425635</v>
      </c>
      <c r="N25" s="455">
        <v>1.2090952132196948</v>
      </c>
      <c r="O25" s="455">
        <v>1.2388885800079772</v>
      </c>
      <c r="P25" s="455">
        <v>1.2695870993843328</v>
      </c>
      <c r="Q25" s="455">
        <v>1.3001859365248907</v>
      </c>
      <c r="R25" s="455">
        <v>1.3306203960895777</v>
      </c>
      <c r="S25" s="455">
        <v>1.360843063508465</v>
      </c>
      <c r="T25" s="455">
        <v>1.390789032044893</v>
      </c>
      <c r="U25" s="455">
        <v>1.419274525030056</v>
      </c>
    </row>
    <row r="26" spans="1:21">
      <c r="A26" s="82"/>
      <c r="B26" s="226" t="s">
        <v>145</v>
      </c>
      <c r="C26" s="225" t="s">
        <v>142</v>
      </c>
      <c r="D26" s="476" t="s">
        <v>445</v>
      </c>
      <c r="E26" s="455">
        <v>0.60293707892576454</v>
      </c>
      <c r="F26" s="455">
        <v>0.6082900597151405</v>
      </c>
      <c r="G26" s="455">
        <v>0.62304318884862364</v>
      </c>
      <c r="H26" s="455">
        <v>0.6402449056498758</v>
      </c>
      <c r="I26" s="455">
        <v>0.65699032220586784</v>
      </c>
      <c r="J26" s="455">
        <v>0.67427249257463973</v>
      </c>
      <c r="K26" s="455">
        <v>0.6915689537590668</v>
      </c>
      <c r="L26" s="455">
        <v>0.70940991678558207</v>
      </c>
      <c r="M26" s="455">
        <v>0.72724194106568785</v>
      </c>
      <c r="N26" s="455">
        <v>0.74563752337762157</v>
      </c>
      <c r="O26" s="455">
        <v>0.76401080943665689</v>
      </c>
      <c r="P26" s="455">
        <v>0.78294229449166097</v>
      </c>
      <c r="Q26" s="455">
        <v>0.80181230645950674</v>
      </c>
      <c r="R26" s="455">
        <v>0.82058094833901629</v>
      </c>
      <c r="S26" s="455">
        <v>0.83921898001567463</v>
      </c>
      <c r="T26" s="455">
        <v>0.85768637412203863</v>
      </c>
      <c r="U26" s="455">
        <v>0.87525310684037283</v>
      </c>
    </row>
    <row r="27" spans="1:21">
      <c r="A27" s="82"/>
      <c r="B27" s="226"/>
      <c r="C27" s="225"/>
      <c r="D27" s="476"/>
      <c r="E27" s="131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</row>
    <row r="28" spans="1:21" ht="24">
      <c r="A28" s="82"/>
      <c r="B28" s="224" t="s">
        <v>371</v>
      </c>
      <c r="C28" s="225" t="s">
        <v>1</v>
      </c>
      <c r="D28" s="478" t="s">
        <v>268</v>
      </c>
      <c r="E28" s="142">
        <v>0.8</v>
      </c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</row>
    <row r="29" spans="1:21" ht="49.5" customHeight="1">
      <c r="A29" s="82"/>
      <c r="B29" s="224" t="s">
        <v>366</v>
      </c>
      <c r="C29" s="225" t="s">
        <v>1</v>
      </c>
      <c r="D29" s="478" t="s">
        <v>167</v>
      </c>
      <c r="E29" s="142">
        <v>0.05</v>
      </c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</row>
    <row r="30" spans="1:21" ht="49.5" customHeight="1">
      <c r="A30" s="82"/>
      <c r="B30" s="224" t="s">
        <v>378</v>
      </c>
      <c r="C30" s="225" t="s">
        <v>1</v>
      </c>
      <c r="D30" s="478" t="s">
        <v>268</v>
      </c>
      <c r="E30" s="142">
        <v>0.1</v>
      </c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</row>
    <row r="31" spans="1:21">
      <c r="A31" s="82"/>
      <c r="B31" s="226"/>
      <c r="C31" s="225"/>
      <c r="D31" s="478"/>
      <c r="E31" s="118"/>
      <c r="F31" s="512" t="s">
        <v>193</v>
      </c>
      <c r="G31" s="512"/>
      <c r="H31" s="512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</row>
    <row r="32" spans="1:21">
      <c r="A32" s="82"/>
      <c r="B32" s="226"/>
      <c r="C32" s="479"/>
      <c r="D32" s="478"/>
      <c r="E32" s="109"/>
      <c r="F32" s="164" t="s">
        <v>192</v>
      </c>
      <c r="G32" s="164" t="s">
        <v>269</v>
      </c>
      <c r="H32" s="164" t="s">
        <v>270</v>
      </c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</row>
    <row r="33" spans="1:19">
      <c r="A33" s="82"/>
      <c r="B33" s="477" t="s">
        <v>189</v>
      </c>
      <c r="C33" s="225" t="s">
        <v>88</v>
      </c>
      <c r="D33" s="478" t="s">
        <v>159</v>
      </c>
      <c r="E33" s="163">
        <v>0.83</v>
      </c>
      <c r="F33" s="122">
        <v>0.83</v>
      </c>
      <c r="G33" s="122">
        <v>0.83</v>
      </c>
      <c r="H33" s="122">
        <v>0.83</v>
      </c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</row>
    <row r="34" spans="1:19">
      <c r="A34" s="82"/>
      <c r="B34" s="477" t="s">
        <v>190</v>
      </c>
      <c r="C34" s="225" t="s">
        <v>88</v>
      </c>
      <c r="D34" s="478" t="s">
        <v>191</v>
      </c>
      <c r="E34" s="163">
        <v>0.87</v>
      </c>
      <c r="F34" s="122">
        <v>0.87</v>
      </c>
      <c r="G34" s="122">
        <v>0.87</v>
      </c>
      <c r="H34" s="122">
        <v>0.87</v>
      </c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1:19">
      <c r="A35" s="82"/>
      <c r="B35" s="477" t="s">
        <v>93</v>
      </c>
      <c r="C35" s="225" t="s">
        <v>88</v>
      </c>
      <c r="D35" s="478" t="s">
        <v>159</v>
      </c>
      <c r="E35" s="163">
        <v>0.78</v>
      </c>
      <c r="F35" s="122">
        <v>0.78</v>
      </c>
      <c r="G35" s="122">
        <v>0.78</v>
      </c>
      <c r="H35" s="122">
        <v>0.78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>
      <c r="A36" s="82"/>
      <c r="B36" s="226"/>
      <c r="C36" s="479"/>
      <c r="D36" s="478"/>
      <c r="E36" s="109"/>
      <c r="F36" s="39"/>
      <c r="G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>
      <c r="A37" s="82"/>
      <c r="B37" s="477" t="s">
        <v>261</v>
      </c>
      <c r="C37" s="480"/>
      <c r="D37" s="478"/>
      <c r="E37" s="127" t="s">
        <v>361</v>
      </c>
      <c r="F37" s="127" t="s">
        <v>362</v>
      </c>
      <c r="G37" s="127" t="s">
        <v>363</v>
      </c>
      <c r="H37" s="127" t="s">
        <v>364</v>
      </c>
      <c r="I37" s="127" t="s">
        <v>365</v>
      </c>
      <c r="J37" s="127" t="s">
        <v>367</v>
      </c>
      <c r="K37" s="126">
        <f t="shared" ref="K37:S37" si="11">K14</f>
        <v>2030</v>
      </c>
      <c r="L37" s="126">
        <f t="shared" si="11"/>
        <v>2031</v>
      </c>
      <c r="M37" s="126">
        <f t="shared" si="11"/>
        <v>2032</v>
      </c>
      <c r="N37" s="126">
        <f t="shared" si="11"/>
        <v>2033</v>
      </c>
      <c r="O37" s="126">
        <f t="shared" si="11"/>
        <v>2034</v>
      </c>
      <c r="P37" s="126">
        <f t="shared" si="11"/>
        <v>2035</v>
      </c>
      <c r="Q37" s="126">
        <f t="shared" si="11"/>
        <v>2036</v>
      </c>
      <c r="R37" s="126">
        <f t="shared" si="11"/>
        <v>2037</v>
      </c>
      <c r="S37" s="126">
        <f t="shared" si="11"/>
        <v>2038</v>
      </c>
    </row>
    <row r="38" spans="1:19">
      <c r="A38" s="82"/>
      <c r="B38" s="226" t="s">
        <v>179</v>
      </c>
      <c r="C38" s="225" t="s">
        <v>188</v>
      </c>
      <c r="D38" s="478" t="s">
        <v>231</v>
      </c>
      <c r="E38" s="166">
        <v>1.1000000000000001</v>
      </c>
      <c r="F38" s="166">
        <v>1.1000000000000001</v>
      </c>
      <c r="G38" s="166">
        <v>0.66</v>
      </c>
      <c r="H38" s="166">
        <v>0.46</v>
      </c>
      <c r="I38" s="166">
        <v>0.46</v>
      </c>
      <c r="J38" s="166">
        <v>0.13</v>
      </c>
      <c r="N38" s="126"/>
      <c r="O38" s="126"/>
      <c r="P38" s="126"/>
      <c r="Q38" s="126"/>
      <c r="R38" s="126"/>
      <c r="S38" s="126"/>
    </row>
    <row r="39" spans="1:19">
      <c r="A39" s="82"/>
      <c r="B39" s="226" t="s">
        <v>61</v>
      </c>
      <c r="C39" s="225" t="s">
        <v>188</v>
      </c>
      <c r="D39" s="478" t="s">
        <v>231</v>
      </c>
      <c r="E39" s="166">
        <v>8</v>
      </c>
      <c r="F39" s="166">
        <v>7</v>
      </c>
      <c r="G39" s="166">
        <v>5</v>
      </c>
      <c r="H39" s="166">
        <v>3.5</v>
      </c>
      <c r="I39" s="166">
        <v>2</v>
      </c>
      <c r="J39" s="166">
        <v>0.4</v>
      </c>
      <c r="N39" s="126"/>
      <c r="O39" s="126"/>
      <c r="P39" s="126"/>
      <c r="Q39" s="126"/>
      <c r="R39" s="126"/>
      <c r="S39" s="126"/>
    </row>
    <row r="40" spans="1:19">
      <c r="A40" s="82"/>
      <c r="B40" s="226" t="s">
        <v>62</v>
      </c>
      <c r="C40" s="225" t="s">
        <v>188</v>
      </c>
      <c r="D40" s="478" t="s">
        <v>231</v>
      </c>
      <c r="E40" s="166">
        <v>0.36</v>
      </c>
      <c r="F40" s="166">
        <v>0.15</v>
      </c>
      <c r="G40" s="166">
        <v>0.1</v>
      </c>
      <c r="H40" s="166">
        <v>0.02</v>
      </c>
      <c r="I40" s="166">
        <v>0.02</v>
      </c>
      <c r="J40" s="166">
        <v>0.01</v>
      </c>
      <c r="N40" s="126"/>
      <c r="O40" s="126"/>
      <c r="P40" s="126"/>
      <c r="Q40" s="126"/>
      <c r="R40" s="126"/>
      <c r="S40" s="126"/>
    </row>
    <row r="41" spans="1:19">
      <c r="B41" s="477"/>
      <c r="C41" s="480"/>
      <c r="D41" s="478"/>
      <c r="N41" s="126"/>
      <c r="O41" s="126"/>
      <c r="P41" s="126"/>
      <c r="Q41" s="126"/>
      <c r="R41" s="126"/>
      <c r="S41" s="126"/>
    </row>
    <row r="42" spans="1:19">
      <c r="B42" s="477"/>
      <c r="C42" s="480"/>
      <c r="D42" s="478"/>
      <c r="N42" s="126"/>
      <c r="O42" s="126"/>
      <c r="P42" s="126"/>
      <c r="Q42" s="126"/>
      <c r="R42" s="126"/>
      <c r="S42" s="126"/>
    </row>
    <row r="43" spans="1:19">
      <c r="B43" s="477" t="s">
        <v>204</v>
      </c>
      <c r="C43" s="480"/>
      <c r="D43" s="478"/>
      <c r="N43" s="126"/>
      <c r="O43" s="126"/>
      <c r="P43" s="126"/>
      <c r="Q43" s="126"/>
      <c r="R43" s="126"/>
      <c r="S43" s="126"/>
    </row>
    <row r="44" spans="1:19">
      <c r="B44" s="226" t="s">
        <v>264</v>
      </c>
      <c r="C44" s="480"/>
      <c r="D44" s="478" t="s">
        <v>231</v>
      </c>
      <c r="E44" s="83"/>
      <c r="F44" s="83">
        <v>36</v>
      </c>
      <c r="G44" s="83" t="s">
        <v>181</v>
      </c>
      <c r="N44" s="126"/>
      <c r="O44" s="126"/>
      <c r="P44" s="126"/>
      <c r="Q44" s="126"/>
      <c r="R44" s="126"/>
      <c r="S44" s="126"/>
    </row>
    <row r="45" spans="1:19">
      <c r="B45" s="226" t="s">
        <v>182</v>
      </c>
      <c r="C45" s="480"/>
      <c r="D45" s="478" t="s">
        <v>231</v>
      </c>
      <c r="E45" s="237" t="s">
        <v>183</v>
      </c>
      <c r="F45" s="83">
        <v>3.6</v>
      </c>
      <c r="G45" s="83" t="s">
        <v>184</v>
      </c>
      <c r="N45" s="126"/>
      <c r="O45" s="126"/>
      <c r="P45" s="126"/>
      <c r="Q45" s="126"/>
      <c r="R45" s="126"/>
      <c r="S45" s="126"/>
    </row>
    <row r="46" spans="1:19">
      <c r="B46" s="226" t="s">
        <v>264</v>
      </c>
      <c r="C46" s="480"/>
      <c r="D46" s="478" t="s">
        <v>231</v>
      </c>
      <c r="E46" s="83"/>
      <c r="F46" s="238">
        <f>F44/F45</f>
        <v>10</v>
      </c>
      <c r="G46" s="83" t="s">
        <v>185</v>
      </c>
      <c r="N46" s="126"/>
      <c r="O46" s="126"/>
      <c r="P46" s="126"/>
      <c r="Q46" s="126"/>
      <c r="R46" s="126"/>
      <c r="S46" s="126"/>
    </row>
    <row r="47" spans="1:19">
      <c r="B47" s="477"/>
      <c r="C47" s="480"/>
      <c r="D47" s="478"/>
      <c r="N47" s="126"/>
      <c r="O47" s="126"/>
      <c r="P47" s="126"/>
      <c r="Q47" s="126"/>
      <c r="R47" s="126"/>
      <c r="S47" s="126"/>
    </row>
    <row r="48" spans="1:19">
      <c r="A48" s="82"/>
      <c r="B48" s="504" t="s">
        <v>352</v>
      </c>
      <c r="C48" s="477"/>
      <c r="D48" s="478"/>
      <c r="E48" s="516" t="s">
        <v>194</v>
      </c>
      <c r="F48" s="517"/>
      <c r="G48" s="517"/>
      <c r="H48" s="517"/>
      <c r="I48" s="239"/>
      <c r="J48" s="239"/>
      <c r="K48" s="239"/>
      <c r="L48" s="239"/>
      <c r="M48" s="239"/>
      <c r="N48" s="239"/>
      <c r="O48" s="126"/>
      <c r="P48" s="126"/>
      <c r="Q48" s="126"/>
      <c r="R48" s="126"/>
      <c r="S48" s="126"/>
    </row>
    <row r="49" spans="1:19">
      <c r="A49" s="82"/>
      <c r="B49" s="505"/>
      <c r="C49" s="477"/>
      <c r="D49" s="478"/>
      <c r="E49" s="514" t="s">
        <v>448</v>
      </c>
      <c r="F49" s="515"/>
      <c r="G49" s="514" t="s">
        <v>414</v>
      </c>
      <c r="H49" s="515"/>
      <c r="I49" s="239"/>
      <c r="J49" s="239"/>
      <c r="K49" s="239"/>
      <c r="L49" s="239"/>
      <c r="M49" s="239"/>
      <c r="N49" s="239"/>
      <c r="O49" s="126"/>
      <c r="P49" s="126"/>
      <c r="Q49" s="126"/>
      <c r="R49" s="126"/>
      <c r="S49" s="126"/>
    </row>
    <row r="50" spans="1:19">
      <c r="A50" s="82"/>
      <c r="B50" s="226" t="s">
        <v>63</v>
      </c>
      <c r="C50" s="477"/>
      <c r="D50" s="478"/>
      <c r="E50" s="177" t="s">
        <v>204</v>
      </c>
      <c r="F50" s="177"/>
      <c r="G50" s="177" t="s">
        <v>204</v>
      </c>
      <c r="H50" s="177"/>
      <c r="I50" s="239"/>
      <c r="J50" s="239"/>
      <c r="K50" s="239"/>
      <c r="L50" s="239"/>
      <c r="M50" s="239"/>
      <c r="N50" s="239"/>
      <c r="O50" s="126"/>
      <c r="P50" s="126"/>
      <c r="Q50" s="126"/>
      <c r="R50" s="126"/>
      <c r="S50" s="126"/>
    </row>
    <row r="51" spans="1:19">
      <c r="A51" s="82"/>
      <c r="B51" s="226" t="s">
        <v>361</v>
      </c>
      <c r="C51" s="225" t="s">
        <v>186</v>
      </c>
      <c r="D51" s="478" t="s">
        <v>158</v>
      </c>
      <c r="E51" s="162">
        <f>IFERROR(AVERAGEIFS($H$112:$H$148,$G$112:$G$148,1,$E$112:$E$148,"ON",$C$112:$C$148,"mini"),0)</f>
        <v>0</v>
      </c>
      <c r="F51" s="162"/>
      <c r="G51" s="427">
        <f>IFERROR(AVERAGEIFS($H$112:$H$148,$G$112:$G$148,1,$E$112:$E$148,"ON",$C$112:$C$148,"maxi"),0)</f>
        <v>0</v>
      </c>
      <c r="H51" s="162"/>
      <c r="I51" s="239"/>
      <c r="J51" s="239"/>
      <c r="K51" s="239"/>
      <c r="L51" s="239"/>
      <c r="M51" s="239"/>
      <c r="N51" s="239"/>
      <c r="O51" s="126"/>
      <c r="P51" s="126"/>
      <c r="Q51" s="126"/>
      <c r="R51" s="126"/>
      <c r="S51" s="126"/>
    </row>
    <row r="52" spans="1:19">
      <c r="A52" s="82"/>
      <c r="B52" s="224" t="s">
        <v>362</v>
      </c>
      <c r="C52" s="225" t="s">
        <v>186</v>
      </c>
      <c r="D52" s="478" t="s">
        <v>158</v>
      </c>
      <c r="E52" s="162">
        <f>IFERROR(AVERAGEIFS($H$112:$H$148,$G$112:$G$148,2,$E$112:$E$148,"ON",$C$112:$C$148,"mini"),0)</f>
        <v>0</v>
      </c>
      <c r="F52" s="162"/>
      <c r="G52" s="427">
        <f>IFERROR(AVERAGEIFS($H$112:$H$148,$G$112:$G$148,2,$E$112:$E$148,"ON",$C$112:$C$148,"maxi"),0)</f>
        <v>0</v>
      </c>
      <c r="H52" s="162"/>
      <c r="I52" s="239"/>
      <c r="J52" s="239"/>
      <c r="K52" s="239"/>
      <c r="L52" s="239"/>
      <c r="M52" s="239"/>
      <c r="N52" s="239"/>
      <c r="O52" s="126"/>
      <c r="P52" s="126"/>
      <c r="Q52" s="126"/>
      <c r="R52" s="126"/>
      <c r="S52" s="126"/>
    </row>
    <row r="53" spans="1:19">
      <c r="A53" s="82"/>
      <c r="B53" s="224" t="s">
        <v>363</v>
      </c>
      <c r="C53" s="225" t="s">
        <v>186</v>
      </c>
      <c r="D53" s="478" t="s">
        <v>158</v>
      </c>
      <c r="E53" s="162">
        <f>IFERROR(AVERAGEIFS($H$112:$H$148,$G$112:$G$148,3,$E$112:$E$148,"ON",$C$112:$C$148,"mini"),0)</f>
        <v>0</v>
      </c>
      <c r="F53" s="162"/>
      <c r="G53" s="427">
        <f>IFERROR(AVERAGEIFS($H$112:$H$148,$G$112:$G$148,3,$E$112:$E$148,"ON",$C$112:$C$148,"maxi"),0)</f>
        <v>0</v>
      </c>
      <c r="H53" s="162"/>
      <c r="I53" s="239"/>
      <c r="J53" s="239"/>
      <c r="K53" s="239"/>
      <c r="L53" s="239"/>
      <c r="M53" s="239"/>
      <c r="N53" s="239"/>
      <c r="O53" s="126"/>
      <c r="P53" s="126"/>
      <c r="Q53" s="126"/>
      <c r="R53" s="126"/>
      <c r="S53" s="126"/>
    </row>
    <row r="54" spans="1:19">
      <c r="A54" s="82"/>
      <c r="B54" s="224" t="s">
        <v>364</v>
      </c>
      <c r="C54" s="225" t="s">
        <v>186</v>
      </c>
      <c r="D54" s="478" t="s">
        <v>158</v>
      </c>
      <c r="E54" s="162">
        <f>IFERROR(AVERAGEIFS($H$112:$H$148,$G$112:$G$148,4,$E$112:$E$148,"ON",$C$112:$C$148,"mini"),0)</f>
        <v>0</v>
      </c>
      <c r="F54" s="162"/>
      <c r="G54" s="427">
        <f>IFERROR(AVERAGEIFS($H$112:$H$148,$G$112:$G$148,4,$E$112:$E$148,"ON",$C$112:$C$148,"maxi"),0)</f>
        <v>0</v>
      </c>
      <c r="H54" s="162"/>
      <c r="I54" s="239"/>
      <c r="J54" s="239"/>
      <c r="K54" s="239"/>
      <c r="L54" s="239"/>
      <c r="M54" s="239"/>
      <c r="N54" s="239"/>
      <c r="O54" s="126"/>
      <c r="P54" s="126"/>
      <c r="Q54" s="126"/>
      <c r="R54" s="126"/>
      <c r="S54" s="126"/>
    </row>
    <row r="55" spans="1:19">
      <c r="A55" s="82"/>
      <c r="B55" s="224" t="s">
        <v>365</v>
      </c>
      <c r="C55" s="225" t="s">
        <v>186</v>
      </c>
      <c r="D55" s="478" t="s">
        <v>158</v>
      </c>
      <c r="E55" s="162">
        <f>IFERROR(AVERAGEIFS($H$112:$H$148,$G$112:$G$148,5,$E$112:$E$148,"ON",$C$112:$C$148,"mini"),0)</f>
        <v>20</v>
      </c>
      <c r="F55" s="162"/>
      <c r="G55" s="162">
        <f>IFERROR(AVERAGEIFS($H$112:$H$148,$G$112:$G$148,5,$E$112:$E$148,"ON",$C$112:$C$148,"maxi"),0)</f>
        <v>0</v>
      </c>
      <c r="H55" s="162"/>
      <c r="I55" s="239"/>
      <c r="J55" s="239"/>
      <c r="K55" s="239"/>
      <c r="L55" s="239"/>
      <c r="M55" s="239"/>
      <c r="N55" s="239"/>
      <c r="O55" s="126"/>
      <c r="P55" s="126"/>
      <c r="Q55" s="126"/>
      <c r="R55" s="126"/>
      <c r="S55" s="126"/>
    </row>
    <row r="56" spans="1:19">
      <c r="A56" s="82"/>
      <c r="B56" s="224" t="s">
        <v>367</v>
      </c>
      <c r="C56" s="225" t="s">
        <v>186</v>
      </c>
      <c r="D56" s="478" t="s">
        <v>158</v>
      </c>
      <c r="E56" s="162">
        <f>IFERROR(AVERAGEIFS($H$112:$H$148,$G$112:$G$148,6,$E$112:$E$148,"ON",$C$112:$C$148,"mini"),0)</f>
        <v>21</v>
      </c>
      <c r="F56" s="162"/>
      <c r="G56" s="162">
        <f>IFERROR(AVERAGEIFS($H$112:$H$148,$G$112:$G$148,6,$E$112:$E$148,"ON",$C$112:$C$148,"maxi"),0)</f>
        <v>33</v>
      </c>
      <c r="H56" s="162"/>
      <c r="I56" s="239"/>
      <c r="J56" s="239"/>
      <c r="K56" s="239"/>
      <c r="L56" s="239"/>
      <c r="M56" s="239"/>
      <c r="N56" s="239"/>
      <c r="O56" s="126"/>
      <c r="P56" s="126"/>
      <c r="Q56" s="126"/>
      <c r="R56" s="126"/>
      <c r="S56" s="126"/>
    </row>
    <row r="57" spans="1:19" ht="12.75" thickBot="1">
      <c r="A57" s="82"/>
      <c r="B57" s="481"/>
      <c r="C57" s="330"/>
      <c r="D57" s="482"/>
      <c r="E57" s="295"/>
      <c r="F57" s="296"/>
      <c r="G57" s="239"/>
      <c r="H57" s="239"/>
      <c r="I57" s="239"/>
      <c r="J57" s="239"/>
      <c r="K57" s="239"/>
      <c r="L57" s="239"/>
      <c r="M57" s="239"/>
      <c r="N57" s="239"/>
      <c r="O57" s="126"/>
      <c r="P57" s="126"/>
      <c r="Q57" s="126"/>
      <c r="R57" s="126"/>
      <c r="S57" s="126"/>
    </row>
    <row r="58" spans="1:19">
      <c r="A58" s="82"/>
      <c r="B58" s="483" t="s">
        <v>212</v>
      </c>
      <c r="C58" s="417"/>
      <c r="D58" s="484"/>
      <c r="E58" s="513" t="s">
        <v>322</v>
      </c>
      <c r="F58" s="513"/>
      <c r="G58" s="513"/>
      <c r="H58" s="513" t="s">
        <v>393</v>
      </c>
      <c r="I58" s="513"/>
      <c r="J58" s="513"/>
      <c r="K58" s="513"/>
      <c r="L58" s="513"/>
      <c r="M58" s="518"/>
      <c r="Q58" s="126"/>
      <c r="R58" s="126"/>
      <c r="S58" s="126"/>
    </row>
    <row r="59" spans="1:19">
      <c r="A59" s="82"/>
      <c r="B59" s="420"/>
      <c r="C59" s="223"/>
      <c r="D59" s="441"/>
      <c r="E59" s="331" t="s">
        <v>179</v>
      </c>
      <c r="F59" s="331" t="s">
        <v>187</v>
      </c>
      <c r="G59" s="331" t="s">
        <v>62</v>
      </c>
      <c r="H59" s="331" t="s">
        <v>179</v>
      </c>
      <c r="I59" s="331" t="s">
        <v>187</v>
      </c>
      <c r="J59" s="331" t="s">
        <v>62</v>
      </c>
      <c r="K59" s="331"/>
      <c r="L59" s="331"/>
      <c r="M59" s="332"/>
      <c r="Q59" s="126"/>
      <c r="R59" s="126"/>
      <c r="S59" s="126"/>
    </row>
    <row r="60" spans="1:19">
      <c r="A60" s="82"/>
      <c r="B60" s="485"/>
      <c r="C60" s="223"/>
      <c r="D60" s="441"/>
      <c r="E60" s="331"/>
      <c r="F60" s="331"/>
      <c r="G60" s="331"/>
      <c r="H60" s="331"/>
      <c r="I60" s="331"/>
      <c r="J60" s="331"/>
      <c r="K60" s="331"/>
      <c r="L60" s="331"/>
      <c r="M60" s="332"/>
      <c r="Q60" s="126"/>
      <c r="R60" s="126"/>
      <c r="S60" s="126"/>
    </row>
    <row r="61" spans="1:19">
      <c r="A61" s="82"/>
      <c r="B61" s="420"/>
      <c r="C61" s="223"/>
      <c r="D61" s="441"/>
      <c r="E61" s="428"/>
      <c r="F61" s="428"/>
      <c r="G61" s="428"/>
      <c r="H61" s="331"/>
      <c r="I61" s="331"/>
      <c r="J61" s="331"/>
      <c r="K61" s="331"/>
      <c r="L61" s="331"/>
      <c r="M61" s="332"/>
      <c r="Q61" s="126"/>
      <c r="R61" s="126"/>
      <c r="S61" s="126"/>
    </row>
    <row r="62" spans="1:19">
      <c r="A62" s="82"/>
      <c r="B62" s="485" t="s">
        <v>447</v>
      </c>
      <c r="C62" s="477"/>
      <c r="D62" s="441"/>
      <c r="E62" s="177"/>
      <c r="F62" s="129"/>
      <c r="G62" s="177"/>
      <c r="H62" s="177"/>
      <c r="I62" s="129"/>
      <c r="J62" s="177"/>
      <c r="K62" s="177"/>
      <c r="L62" s="129"/>
      <c r="M62" s="297"/>
      <c r="Q62" s="126"/>
      <c r="R62" s="126"/>
      <c r="S62" s="126"/>
    </row>
    <row r="63" spans="1:19">
      <c r="A63" s="82"/>
      <c r="B63" s="420" t="s">
        <v>361</v>
      </c>
      <c r="C63" s="223" t="s">
        <v>138</v>
      </c>
      <c r="D63" s="441" t="s">
        <v>158</v>
      </c>
      <c r="E63" s="162">
        <f>$F$46*E51/100*E38</f>
        <v>0</v>
      </c>
      <c r="F63" s="162">
        <f>$F$46*E51/100*E39</f>
        <v>0</v>
      </c>
      <c r="G63" s="162">
        <f>$F$46*E51/100*E40</f>
        <v>0</v>
      </c>
      <c r="H63" s="162"/>
      <c r="I63" s="162"/>
      <c r="J63" s="162"/>
      <c r="K63" s="162"/>
      <c r="L63" s="162"/>
      <c r="M63" s="298"/>
      <c r="Q63" s="126"/>
      <c r="R63" s="126"/>
      <c r="S63" s="126"/>
    </row>
    <row r="64" spans="1:19">
      <c r="A64" s="82"/>
      <c r="B64" s="420" t="s">
        <v>362</v>
      </c>
      <c r="C64" s="223" t="s">
        <v>138</v>
      </c>
      <c r="D64" s="441" t="s">
        <v>158</v>
      </c>
      <c r="E64" s="162">
        <f>$F$46*E52/100*F38</f>
        <v>0</v>
      </c>
      <c r="F64" s="162">
        <f>$F$46*E52/100*F39</f>
        <v>0</v>
      </c>
      <c r="G64" s="162">
        <f>$F$46*E52/100*F40</f>
        <v>0</v>
      </c>
      <c r="H64" s="162"/>
      <c r="I64" s="162"/>
      <c r="J64" s="162"/>
      <c r="K64" s="162"/>
      <c r="L64" s="162"/>
      <c r="M64" s="298"/>
      <c r="Q64" s="126"/>
      <c r="R64" s="126"/>
      <c r="S64" s="126"/>
    </row>
    <row r="65" spans="1:21">
      <c r="A65" s="82"/>
      <c r="B65" s="420" t="s">
        <v>363</v>
      </c>
      <c r="C65" s="223" t="s">
        <v>138</v>
      </c>
      <c r="D65" s="441" t="s">
        <v>158</v>
      </c>
      <c r="E65" s="162">
        <f>$F$46*E53/100*G38</f>
        <v>0</v>
      </c>
      <c r="F65" s="162">
        <f>$F$46*E53/100*G39</f>
        <v>0</v>
      </c>
      <c r="G65" s="162">
        <f>$F$46*E53/100*G40</f>
        <v>0</v>
      </c>
      <c r="H65" s="162"/>
      <c r="I65" s="162"/>
      <c r="J65" s="162"/>
      <c r="K65" s="162"/>
      <c r="L65" s="162"/>
      <c r="M65" s="298"/>
      <c r="Q65" s="126"/>
      <c r="R65" s="126"/>
      <c r="S65" s="126"/>
    </row>
    <row r="66" spans="1:21">
      <c r="A66" s="82"/>
      <c r="B66" s="420" t="s">
        <v>364</v>
      </c>
      <c r="C66" s="223" t="s">
        <v>138</v>
      </c>
      <c r="D66" s="441" t="s">
        <v>158</v>
      </c>
      <c r="E66" s="162">
        <f>$F$46*E54/100*H39</f>
        <v>0</v>
      </c>
      <c r="F66" s="162">
        <f>$F$46*E54/100*H40</f>
        <v>0</v>
      </c>
      <c r="G66" s="162">
        <f>$F$46*E54/100*H40</f>
        <v>0</v>
      </c>
      <c r="H66" s="162"/>
      <c r="I66" s="162"/>
      <c r="J66" s="162"/>
      <c r="K66" s="162"/>
      <c r="L66" s="162"/>
      <c r="M66" s="298"/>
      <c r="Q66" s="126"/>
      <c r="R66" s="126"/>
      <c r="S66" s="126"/>
    </row>
    <row r="67" spans="1:21">
      <c r="A67" s="82"/>
      <c r="B67" s="420" t="s">
        <v>365</v>
      </c>
      <c r="C67" s="223" t="s">
        <v>138</v>
      </c>
      <c r="D67" s="441" t="s">
        <v>158</v>
      </c>
      <c r="E67" s="450">
        <f>$F$46*E55/100*I38</f>
        <v>0.92</v>
      </c>
      <c r="F67" s="450">
        <f>$F$46*E55/100*I39</f>
        <v>4</v>
      </c>
      <c r="G67" s="450">
        <f>$F$46*E55/100*I40</f>
        <v>0.04</v>
      </c>
      <c r="H67" s="162">
        <f>$F$46*$E$163/100*I38</f>
        <v>0</v>
      </c>
      <c r="I67" s="162">
        <f>$F$46*$E$163/100*I39</f>
        <v>0</v>
      </c>
      <c r="J67" s="162">
        <f>$F$46*$E$163/100*I40</f>
        <v>0</v>
      </c>
      <c r="K67" s="162"/>
      <c r="L67" s="162"/>
      <c r="M67" s="298"/>
      <c r="Q67" s="126"/>
      <c r="R67" s="126"/>
      <c r="S67" s="126"/>
    </row>
    <row r="68" spans="1:21">
      <c r="A68" s="82"/>
      <c r="B68" s="420" t="s">
        <v>367</v>
      </c>
      <c r="C68" s="223" t="s">
        <v>138</v>
      </c>
      <c r="D68" s="441" t="s">
        <v>158</v>
      </c>
      <c r="E68" s="450">
        <f>$F$46*E56/100*J38</f>
        <v>0.27300000000000002</v>
      </c>
      <c r="F68" s="450">
        <f>$F$46*E56/100*J39</f>
        <v>0.84000000000000008</v>
      </c>
      <c r="G68" s="450">
        <f>$F$46*E56/100*J40</f>
        <v>2.1000000000000001E-2</v>
      </c>
      <c r="H68" s="162">
        <f>$F$46*$E$163/100*J38</f>
        <v>0</v>
      </c>
      <c r="I68" s="162">
        <f>$F$46*$E$163/100*J39</f>
        <v>0</v>
      </c>
      <c r="J68" s="162">
        <f>$F$46*$E$163/100*J40</f>
        <v>0</v>
      </c>
      <c r="K68" s="162"/>
      <c r="L68" s="162"/>
      <c r="M68" s="298"/>
      <c r="Q68" s="126"/>
      <c r="R68" s="126"/>
      <c r="S68" s="126"/>
    </row>
    <row r="69" spans="1:21">
      <c r="A69" s="82"/>
      <c r="B69" s="486"/>
      <c r="C69" s="487"/>
      <c r="D69" s="488"/>
      <c r="E69" s="144"/>
      <c r="F69" s="144"/>
      <c r="G69" s="239"/>
      <c r="H69" s="239"/>
      <c r="I69" s="239"/>
      <c r="J69" s="239"/>
      <c r="K69" s="239"/>
      <c r="L69" s="239"/>
      <c r="M69" s="342"/>
      <c r="Q69" s="126"/>
      <c r="R69" s="126"/>
      <c r="S69" s="126"/>
    </row>
    <row r="70" spans="1:21">
      <c r="A70" s="82"/>
      <c r="B70" s="485" t="s">
        <v>415</v>
      </c>
      <c r="C70" s="477"/>
      <c r="D70" s="441"/>
      <c r="E70" s="177"/>
      <c r="F70" s="129"/>
      <c r="G70" s="177"/>
      <c r="H70" s="177"/>
      <c r="I70" s="129"/>
      <c r="J70" s="177"/>
      <c r="K70" s="177"/>
      <c r="L70" s="129"/>
      <c r="M70" s="297"/>
      <c r="Q70" s="126"/>
      <c r="R70" s="126"/>
      <c r="S70" s="126"/>
    </row>
    <row r="71" spans="1:21">
      <c r="A71" s="82"/>
      <c r="B71" s="420" t="s">
        <v>361</v>
      </c>
      <c r="C71" s="223" t="s">
        <v>138</v>
      </c>
      <c r="D71" s="441" t="s">
        <v>158</v>
      </c>
      <c r="E71" s="162">
        <f>$F$46*G51/100*E38</f>
        <v>0</v>
      </c>
      <c r="F71" s="162">
        <f>$F$46*G51/100*E39</f>
        <v>0</v>
      </c>
      <c r="G71" s="162">
        <f>$F$46*G51/100*E40</f>
        <v>0</v>
      </c>
      <c r="H71" s="162"/>
      <c r="I71" s="162"/>
      <c r="J71" s="162"/>
      <c r="K71" s="162"/>
      <c r="L71" s="162"/>
      <c r="M71" s="298"/>
      <c r="Q71" s="126"/>
      <c r="R71" s="126"/>
      <c r="S71" s="126"/>
    </row>
    <row r="72" spans="1:21">
      <c r="A72" s="82"/>
      <c r="B72" s="420" t="s">
        <v>362</v>
      </c>
      <c r="C72" s="223" t="s">
        <v>138</v>
      </c>
      <c r="D72" s="441" t="s">
        <v>158</v>
      </c>
      <c r="E72" s="162">
        <f>$F$46*G52/100*F38</f>
        <v>0</v>
      </c>
      <c r="F72" s="162">
        <f>$F$46*G52/100*F39</f>
        <v>0</v>
      </c>
      <c r="G72" s="162">
        <f>$F$46*G52/100*F40</f>
        <v>0</v>
      </c>
      <c r="H72" s="162"/>
      <c r="I72" s="162"/>
      <c r="J72" s="162"/>
      <c r="K72" s="162"/>
      <c r="L72" s="162"/>
      <c r="M72" s="298"/>
      <c r="Q72" s="126"/>
      <c r="R72" s="126"/>
      <c r="S72" s="126"/>
    </row>
    <row r="73" spans="1:21">
      <c r="A73" s="82"/>
      <c r="B73" s="420" t="s">
        <v>363</v>
      </c>
      <c r="C73" s="223" t="s">
        <v>138</v>
      </c>
      <c r="D73" s="441" t="s">
        <v>158</v>
      </c>
      <c r="E73" s="162">
        <f>$F$46*G53/100*G38</f>
        <v>0</v>
      </c>
      <c r="F73" s="162">
        <f>$F$46*G53/100*G39</f>
        <v>0</v>
      </c>
      <c r="G73" s="162">
        <f>$F$46*G53/100*G40</f>
        <v>0</v>
      </c>
      <c r="H73" s="162"/>
      <c r="I73" s="162"/>
      <c r="J73" s="162"/>
      <c r="K73" s="162"/>
      <c r="L73" s="162"/>
      <c r="M73" s="298"/>
      <c r="Q73" s="126"/>
      <c r="R73" s="126"/>
      <c r="S73" s="126"/>
    </row>
    <row r="74" spans="1:21">
      <c r="A74" s="82"/>
      <c r="B74" s="420" t="s">
        <v>364</v>
      </c>
      <c r="C74" s="223" t="s">
        <v>138</v>
      </c>
      <c r="D74" s="441" t="s">
        <v>158</v>
      </c>
      <c r="E74" s="162">
        <f>$F$46*G54/100*H38</f>
        <v>0</v>
      </c>
      <c r="F74" s="162">
        <f>$F$46*G54/100*H39</f>
        <v>0</v>
      </c>
      <c r="G74" s="162">
        <f>$F$46*G54/100*H40</f>
        <v>0</v>
      </c>
      <c r="H74" s="162"/>
      <c r="I74" s="162"/>
      <c r="J74" s="162"/>
      <c r="K74" s="162"/>
      <c r="L74" s="162"/>
      <c r="M74" s="298"/>
      <c r="Q74" s="126"/>
      <c r="R74" s="126"/>
      <c r="S74" s="126"/>
    </row>
    <row r="75" spans="1:21">
      <c r="A75" s="82"/>
      <c r="B75" s="420" t="s">
        <v>365</v>
      </c>
      <c r="C75" s="223" t="s">
        <v>138</v>
      </c>
      <c r="D75" s="441" t="s">
        <v>158</v>
      </c>
      <c r="E75" s="162">
        <f>$F$46*G55/100*I38</f>
        <v>0</v>
      </c>
      <c r="F75" s="162">
        <f>$F$46*G55/100*I39</f>
        <v>0</v>
      </c>
      <c r="G75" s="162">
        <f>$F$46*G55/100*I40</f>
        <v>0</v>
      </c>
      <c r="H75" s="162"/>
      <c r="I75" s="162"/>
      <c r="J75" s="162"/>
      <c r="K75" s="162"/>
      <c r="L75" s="162"/>
      <c r="M75" s="298"/>
      <c r="Q75" s="126"/>
      <c r="R75" s="126"/>
      <c r="S75" s="126"/>
    </row>
    <row r="76" spans="1:21" ht="12.75" thickBot="1">
      <c r="A76" s="82"/>
      <c r="B76" s="422" t="s">
        <v>367</v>
      </c>
      <c r="C76" s="333" t="s">
        <v>138</v>
      </c>
      <c r="D76" s="489" t="s">
        <v>158</v>
      </c>
      <c r="E76" s="464">
        <f>$F$46*G56/100*J38</f>
        <v>0.42899999999999999</v>
      </c>
      <c r="F76" s="464">
        <f>$F$46*G56/100*J39</f>
        <v>1.32</v>
      </c>
      <c r="G76" s="464">
        <f>$F$46*G56/100*J40</f>
        <v>3.3000000000000002E-2</v>
      </c>
      <c r="H76" s="299">
        <f>$F$46*$E$164/100*J38</f>
        <v>0</v>
      </c>
      <c r="I76" s="299">
        <f>$F$46*$E$164/100*J39</f>
        <v>0</v>
      </c>
      <c r="J76" s="299">
        <f>$F$46*$E$164/100*J40</f>
        <v>0</v>
      </c>
      <c r="K76" s="299"/>
      <c r="L76" s="299"/>
      <c r="M76" s="300"/>
      <c r="Q76" s="126"/>
      <c r="R76" s="126"/>
      <c r="S76" s="126"/>
    </row>
    <row r="77" spans="1:21">
      <c r="A77" s="82"/>
      <c r="B77" s="490"/>
      <c r="C77" s="487"/>
      <c r="D77" s="488"/>
      <c r="E77" s="144"/>
      <c r="F77" s="144"/>
      <c r="G77" s="239"/>
      <c r="H77" s="239"/>
      <c r="I77" s="239"/>
      <c r="J77" s="239"/>
      <c r="K77" s="239"/>
      <c r="L77" s="239"/>
      <c r="M77" s="239"/>
      <c r="N77" s="239"/>
      <c r="O77" s="126"/>
      <c r="P77" s="126"/>
      <c r="Q77" s="126"/>
      <c r="R77" s="126"/>
      <c r="S77" s="126"/>
    </row>
    <row r="78" spans="1:21">
      <c r="A78" s="82"/>
      <c r="B78" s="226"/>
      <c r="C78" s="225"/>
      <c r="D78" s="478"/>
      <c r="E78" s="144"/>
      <c r="F78" s="444"/>
      <c r="G78" s="444"/>
      <c r="H78" s="444"/>
      <c r="I78" s="239"/>
      <c r="J78" s="239"/>
      <c r="K78" s="239"/>
      <c r="L78" s="239"/>
      <c r="M78" s="239"/>
      <c r="N78" s="239"/>
      <c r="O78" s="126"/>
      <c r="P78" s="126"/>
      <c r="Q78" s="126"/>
      <c r="R78" s="126"/>
      <c r="S78" s="126"/>
    </row>
    <row r="79" spans="1:21">
      <c r="A79" s="82"/>
      <c r="B79" s="226"/>
      <c r="C79" s="225"/>
      <c r="D79" s="478"/>
      <c r="E79" s="136"/>
      <c r="F79" s="137"/>
      <c r="G79" s="239"/>
      <c r="H79" s="239"/>
      <c r="I79" s="239"/>
      <c r="J79" s="239"/>
      <c r="K79" s="239"/>
      <c r="L79" s="239"/>
      <c r="M79" s="239"/>
      <c r="N79" s="239"/>
      <c r="O79" s="126"/>
      <c r="P79" s="126"/>
      <c r="Q79" s="126"/>
      <c r="R79" s="126"/>
      <c r="S79" s="126"/>
    </row>
    <row r="80" spans="1:21">
      <c r="A80" s="82"/>
      <c r="B80" s="226" t="s">
        <v>271</v>
      </c>
      <c r="C80" s="225"/>
      <c r="D80" s="478"/>
      <c r="E80" s="125">
        <f>E7</f>
        <v>2024</v>
      </c>
      <c r="F80" s="125">
        <f>E80+1</f>
        <v>2025</v>
      </c>
      <c r="G80" s="125">
        <f t="shared" ref="G80:U80" si="12">F80+1</f>
        <v>2026</v>
      </c>
      <c r="H80" s="125">
        <f t="shared" si="12"/>
        <v>2027</v>
      </c>
      <c r="I80" s="125">
        <f t="shared" si="12"/>
        <v>2028</v>
      </c>
      <c r="J80" s="125">
        <f t="shared" si="12"/>
        <v>2029</v>
      </c>
      <c r="K80" s="125">
        <f t="shared" si="12"/>
        <v>2030</v>
      </c>
      <c r="L80" s="125">
        <f t="shared" si="12"/>
        <v>2031</v>
      </c>
      <c r="M80" s="125">
        <f t="shared" si="12"/>
        <v>2032</v>
      </c>
      <c r="N80" s="125">
        <f t="shared" si="12"/>
        <v>2033</v>
      </c>
      <c r="O80" s="125">
        <f t="shared" si="12"/>
        <v>2034</v>
      </c>
      <c r="P80" s="125">
        <f t="shared" si="12"/>
        <v>2035</v>
      </c>
      <c r="Q80" s="125">
        <f t="shared" si="12"/>
        <v>2036</v>
      </c>
      <c r="R80" s="125">
        <f t="shared" si="12"/>
        <v>2037</v>
      </c>
      <c r="S80" s="125">
        <f t="shared" si="12"/>
        <v>2038</v>
      </c>
      <c r="T80" s="125">
        <f t="shared" si="12"/>
        <v>2039</v>
      </c>
      <c r="U80" s="125">
        <f t="shared" si="12"/>
        <v>2040</v>
      </c>
    </row>
    <row r="81" spans="1:21" ht="20.45" customHeight="1">
      <c r="A81" s="82"/>
      <c r="B81" s="226" t="s">
        <v>121</v>
      </c>
      <c r="C81" s="225" t="s">
        <v>188</v>
      </c>
      <c r="D81" s="521" t="s">
        <v>450</v>
      </c>
      <c r="E81" s="405">
        <v>5.0399999999999993E-3</v>
      </c>
      <c r="F81" s="406">
        <f>E81-($E81-$H81)/3</f>
        <v>4.9865251989389915E-3</v>
      </c>
      <c r="G81" s="406">
        <f>F81-($E81-$H81)/3</f>
        <v>4.9330503978779836E-3</v>
      </c>
      <c r="H81" s="407">
        <v>4.8795755968169758E-3</v>
      </c>
      <c r="I81" s="406">
        <f>H81-($H81-$M81)/5</f>
        <v>4.8047108753315644E-3</v>
      </c>
      <c r="J81" s="406">
        <f t="shared" ref="J81:L81" si="13">I81-($H81-$M81)/5</f>
        <v>4.7298461538461531E-3</v>
      </c>
      <c r="K81" s="406">
        <f t="shared" si="13"/>
        <v>4.6549814323607417E-3</v>
      </c>
      <c r="L81" s="406">
        <f t="shared" si="13"/>
        <v>4.5801167108753304E-3</v>
      </c>
      <c r="M81" s="407">
        <v>4.5052519893899199E-3</v>
      </c>
      <c r="N81" s="406">
        <f>M81-($M81-$R81)/5</f>
        <v>4.2833315649867367E-3</v>
      </c>
      <c r="O81" s="406">
        <f t="shared" ref="O81:Q81" si="14">N81-($M81-$R81)/5</f>
        <v>4.0614111405835535E-3</v>
      </c>
      <c r="P81" s="406">
        <f t="shared" si="14"/>
        <v>3.8394907161803703E-3</v>
      </c>
      <c r="Q81" s="406">
        <f t="shared" si="14"/>
        <v>3.6175702917771871E-3</v>
      </c>
      <c r="R81" s="407">
        <v>3.3956498673740048E-3</v>
      </c>
      <c r="S81" s="408">
        <f>R81-(R81-U81)/2</f>
        <v>3.1215915119363392E-3</v>
      </c>
      <c r="T81" s="408">
        <f>S81-(S81-U81)/2</f>
        <v>2.9845623342175066E-3</v>
      </c>
      <c r="U81" s="407">
        <v>2.8475331564986736E-3</v>
      </c>
    </row>
    <row r="82" spans="1:21" ht="16.899999999999999" customHeight="1">
      <c r="A82" s="82"/>
      <c r="B82" s="226" t="s">
        <v>160</v>
      </c>
      <c r="C82" s="225" t="s">
        <v>188</v>
      </c>
      <c r="D82" s="522"/>
      <c r="E82" s="405">
        <v>2.6272799999999998</v>
      </c>
      <c r="F82" s="406">
        <f t="shared" ref="F82:G84" si="15">E82-($E82-$H82)/3</f>
        <v>2.4808325776573623</v>
      </c>
      <c r="G82" s="406">
        <f t="shared" si="15"/>
        <v>2.3343851553147248</v>
      </c>
      <c r="H82" s="407">
        <v>2.1879377329720868</v>
      </c>
      <c r="I82" s="406">
        <f t="shared" ref="I82:L84" si="16">H82-($H82-$M82)/5</f>
        <v>2.1549953399281705</v>
      </c>
      <c r="J82" s="406">
        <f t="shared" si="16"/>
        <v>2.1220529468842542</v>
      </c>
      <c r="K82" s="406">
        <f t="shared" si="16"/>
        <v>2.0891105538403378</v>
      </c>
      <c r="L82" s="406">
        <f t="shared" si="16"/>
        <v>2.0561681607964215</v>
      </c>
      <c r="M82" s="407">
        <v>2.0232257677525043</v>
      </c>
      <c r="N82" s="406">
        <f t="shared" ref="N82:Q84" si="17">M82-($M82-$R82)/5</f>
        <v>1.9229418395816267</v>
      </c>
      <c r="O82" s="406">
        <f>N82-($M82-$R82)/5</f>
        <v>1.8226579114107491</v>
      </c>
      <c r="P82" s="406">
        <f t="shared" si="17"/>
        <v>1.7223739832398715</v>
      </c>
      <c r="Q82" s="406">
        <f t="shared" si="17"/>
        <v>1.6220900550689938</v>
      </c>
      <c r="R82" s="407">
        <v>1.521806126898116</v>
      </c>
      <c r="S82" s="408">
        <f t="shared" ref="S82:S84" si="18">R82-(R82-U82)/2</f>
        <v>1.4012104820112152</v>
      </c>
      <c r="T82" s="408">
        <f t="shared" ref="T82:T84" si="19">S82-(S82-U82)/2</f>
        <v>1.340912659567765</v>
      </c>
      <c r="U82" s="407">
        <v>1.2806148371243147</v>
      </c>
    </row>
    <row r="83" spans="1:21" ht="17.45" customHeight="1">
      <c r="A83" s="82"/>
      <c r="B83" s="226" t="s">
        <v>61</v>
      </c>
      <c r="C83" s="225" t="s">
        <v>188</v>
      </c>
      <c r="D83" s="522"/>
      <c r="E83" s="405">
        <v>1.0908</v>
      </c>
      <c r="F83" s="406">
        <f t="shared" si="15"/>
        <v>1.0299523596098075</v>
      </c>
      <c r="G83" s="406">
        <f t="shared" si="15"/>
        <v>0.96910471921961505</v>
      </c>
      <c r="H83" s="407">
        <v>0.90825707882942264</v>
      </c>
      <c r="I83" s="406">
        <f t="shared" si="16"/>
        <v>0.89459691537041919</v>
      </c>
      <c r="J83" s="406">
        <f t="shared" si="16"/>
        <v>0.88093675191141574</v>
      </c>
      <c r="K83" s="406">
        <f t="shared" si="16"/>
        <v>0.86727658845241229</v>
      </c>
      <c r="L83" s="406">
        <f t="shared" si="16"/>
        <v>0.85361642499340884</v>
      </c>
      <c r="M83" s="407">
        <v>0.8399562615344055</v>
      </c>
      <c r="N83" s="406">
        <f t="shared" si="17"/>
        <v>0.79832871078302137</v>
      </c>
      <c r="O83" s="406">
        <f t="shared" si="17"/>
        <v>0.75670116003163723</v>
      </c>
      <c r="P83" s="406">
        <f t="shared" si="17"/>
        <v>0.7150736092802531</v>
      </c>
      <c r="Q83" s="406">
        <f t="shared" si="17"/>
        <v>0.67344605852886896</v>
      </c>
      <c r="R83" s="407">
        <v>0.63181850777748472</v>
      </c>
      <c r="S83" s="408">
        <f t="shared" si="18"/>
        <v>0.58170727656208798</v>
      </c>
      <c r="T83" s="408">
        <f t="shared" si="19"/>
        <v>0.55665166095438967</v>
      </c>
      <c r="U83" s="407">
        <v>0.53159604534669125</v>
      </c>
    </row>
    <row r="84" spans="1:21" ht="18" customHeight="1">
      <c r="A84" s="82"/>
      <c r="B84" s="226" t="s">
        <v>62</v>
      </c>
      <c r="C84" s="225" t="s">
        <v>188</v>
      </c>
      <c r="D84" s="523"/>
      <c r="E84" s="405">
        <v>2.988E-2</v>
      </c>
      <c r="F84" s="406">
        <f t="shared" si="15"/>
        <v>2.8213346693386775E-2</v>
      </c>
      <c r="G84" s="406">
        <f t="shared" si="15"/>
        <v>2.654669338677355E-2</v>
      </c>
      <c r="H84" s="407">
        <v>2.4880040080160322E-2</v>
      </c>
      <c r="I84" s="406">
        <f t="shared" si="16"/>
        <v>2.4508785571142284E-2</v>
      </c>
      <c r="J84" s="406">
        <f t="shared" si="16"/>
        <v>2.4137531062124247E-2</v>
      </c>
      <c r="K84" s="406">
        <f t="shared" si="16"/>
        <v>2.376627655310621E-2</v>
      </c>
      <c r="L84" s="406">
        <f t="shared" si="16"/>
        <v>2.3395022044088172E-2</v>
      </c>
      <c r="M84" s="407">
        <v>2.3023767535070142E-2</v>
      </c>
      <c r="N84" s="406">
        <f t="shared" si="17"/>
        <v>2.1880064128256514E-2</v>
      </c>
      <c r="O84" s="406">
        <f t="shared" si="17"/>
        <v>2.0736360721442887E-2</v>
      </c>
      <c r="P84" s="406">
        <f t="shared" si="17"/>
        <v>1.959265731462926E-2</v>
      </c>
      <c r="Q84" s="406">
        <f t="shared" si="17"/>
        <v>1.8448953907815632E-2</v>
      </c>
      <c r="R84" s="407">
        <v>1.7305250501002005E-2</v>
      </c>
      <c r="S84" s="408">
        <f t="shared" si="18"/>
        <v>1.5942985971943886E-2</v>
      </c>
      <c r="T84" s="408">
        <f t="shared" si="19"/>
        <v>1.5261853707414829E-2</v>
      </c>
      <c r="U84" s="407">
        <v>1.4580721442885771E-2</v>
      </c>
    </row>
    <row r="85" spans="1:21">
      <c r="A85" s="82"/>
      <c r="B85" s="477"/>
      <c r="C85" s="480"/>
      <c r="D85" s="478"/>
      <c r="E85" s="130"/>
      <c r="F85" s="236" t="s">
        <v>297</v>
      </c>
      <c r="G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</row>
    <row r="86" spans="1:21">
      <c r="A86" s="82"/>
      <c r="B86" s="477" t="s">
        <v>451</v>
      </c>
      <c r="C86" s="480"/>
      <c r="D86" s="478"/>
      <c r="E86" s="125">
        <f>E7</f>
        <v>2024</v>
      </c>
      <c r="F86" s="125">
        <f t="shared" ref="F86:U86" si="20">F14</f>
        <v>2025</v>
      </c>
      <c r="G86" s="125">
        <f t="shared" si="20"/>
        <v>2026</v>
      </c>
      <c r="H86" s="124">
        <f t="shared" si="20"/>
        <v>2027</v>
      </c>
      <c r="I86" s="125">
        <f t="shared" si="20"/>
        <v>2028</v>
      </c>
      <c r="J86" s="125">
        <f t="shared" si="20"/>
        <v>2029</v>
      </c>
      <c r="K86" s="125">
        <f t="shared" si="20"/>
        <v>2030</v>
      </c>
      <c r="L86" s="125">
        <f t="shared" si="20"/>
        <v>2031</v>
      </c>
      <c r="M86" s="125">
        <f t="shared" si="20"/>
        <v>2032</v>
      </c>
      <c r="N86" s="125">
        <f t="shared" si="20"/>
        <v>2033</v>
      </c>
      <c r="O86" s="125">
        <f t="shared" si="20"/>
        <v>2034</v>
      </c>
      <c r="P86" s="125">
        <f t="shared" si="20"/>
        <v>2035</v>
      </c>
      <c r="Q86" s="125">
        <f t="shared" si="20"/>
        <v>2036</v>
      </c>
      <c r="R86" s="125">
        <f t="shared" si="20"/>
        <v>2037</v>
      </c>
      <c r="S86" s="125">
        <f t="shared" si="20"/>
        <v>2038</v>
      </c>
      <c r="T86" s="125">
        <f t="shared" si="20"/>
        <v>2039</v>
      </c>
      <c r="U86" s="125">
        <f t="shared" si="20"/>
        <v>2040</v>
      </c>
    </row>
    <row r="87" spans="1:21" ht="13.5">
      <c r="A87" s="82"/>
      <c r="B87" s="226" t="s">
        <v>120</v>
      </c>
      <c r="C87" s="225" t="s">
        <v>127</v>
      </c>
      <c r="D87" s="476" t="s">
        <v>445</v>
      </c>
      <c r="E87" s="123">
        <v>70375.176140161158</v>
      </c>
      <c r="F87" s="113">
        <v>70999.979256596489</v>
      </c>
      <c r="G87" s="113">
        <v>72721.973304859785</v>
      </c>
      <c r="H87" s="113">
        <v>74729.767968870379</v>
      </c>
      <c r="I87" s="113">
        <v>76684.302995589824</v>
      </c>
      <c r="J87" s="113">
        <v>78701.488248076756</v>
      </c>
      <c r="K87" s="113">
        <v>80720.34153310649</v>
      </c>
      <c r="L87" s="113">
        <v>82802.749398514468</v>
      </c>
      <c r="M87" s="113">
        <v>84884.113928100123</v>
      </c>
      <c r="N87" s="113">
        <v>87031.257287917542</v>
      </c>
      <c r="O87" s="113">
        <v>89175.798215773451</v>
      </c>
      <c r="P87" s="113">
        <v>91385.492463993301</v>
      </c>
      <c r="Q87" s="113">
        <v>93588.011536746504</v>
      </c>
      <c r="R87" s="113">
        <v>95778.698632214902</v>
      </c>
      <c r="S87" s="113">
        <v>97954.140826759758</v>
      </c>
      <c r="T87" s="113">
        <v>100109.66610213456</v>
      </c>
      <c r="U87" s="113">
        <v>102160.06564210399</v>
      </c>
    </row>
    <row r="88" spans="1:21">
      <c r="A88" s="82"/>
      <c r="B88" s="226" t="s">
        <v>121</v>
      </c>
      <c r="C88" s="225" t="s">
        <v>127</v>
      </c>
      <c r="D88" s="476" t="s">
        <v>445</v>
      </c>
      <c r="E88" s="123">
        <v>3351.1988638171983</v>
      </c>
      <c r="F88" s="113">
        <v>3380.9513931712618</v>
      </c>
      <c r="G88" s="113">
        <v>3462.9511097552281</v>
      </c>
      <c r="H88" s="113">
        <v>3558.5603794700182</v>
      </c>
      <c r="I88" s="113">
        <v>3651.6334759804681</v>
      </c>
      <c r="J88" s="113">
        <v>3747.6899165750838</v>
      </c>
      <c r="K88" s="113">
        <v>3843.8257872907852</v>
      </c>
      <c r="L88" s="113">
        <v>3942.9880665959267</v>
      </c>
      <c r="M88" s="113">
        <v>4042.100663242863</v>
      </c>
      <c r="N88" s="113">
        <v>4144.3455851389308</v>
      </c>
      <c r="O88" s="113">
        <v>4246.4665817034975</v>
      </c>
      <c r="P88" s="113">
        <v>4351.6901173330143</v>
      </c>
      <c r="Q88" s="113">
        <v>4456.5719779403098</v>
      </c>
      <c r="R88" s="113">
        <v>4560.8904110578533</v>
      </c>
      <c r="S88" s="113">
        <v>4664.4828965123706</v>
      </c>
      <c r="T88" s="113">
        <v>4767.1269572445044</v>
      </c>
      <c r="U88" s="113">
        <v>4864.7650305763818</v>
      </c>
    </row>
    <row r="89" spans="1:21" ht="13.5">
      <c r="A89" s="82"/>
      <c r="B89" s="226" t="s">
        <v>122</v>
      </c>
      <c r="C89" s="225" t="s">
        <v>127</v>
      </c>
      <c r="D89" s="476" t="s">
        <v>445</v>
      </c>
      <c r="E89" s="123">
        <v>39256.90097614433</v>
      </c>
      <c r="F89" s="113">
        <v>39605.430605720503</v>
      </c>
      <c r="G89" s="113">
        <v>40565.998714275534</v>
      </c>
      <c r="H89" s="113">
        <v>41685.99301664879</v>
      </c>
      <c r="I89" s="113">
        <v>42776.277861485491</v>
      </c>
      <c r="J89" s="113">
        <v>43901.510451308131</v>
      </c>
      <c r="K89" s="113">
        <v>45027.673508263491</v>
      </c>
      <c r="L89" s="113">
        <v>46189.288780123723</v>
      </c>
      <c r="M89" s="113">
        <v>47350.322055130688</v>
      </c>
      <c r="N89" s="113">
        <v>48548.04828305605</v>
      </c>
      <c r="O89" s="113">
        <v>49744.322814240979</v>
      </c>
      <c r="P89" s="113">
        <v>50976.941374472459</v>
      </c>
      <c r="Q89" s="113">
        <v>52205.557455872207</v>
      </c>
      <c r="R89" s="113">
        <v>53427.573386677708</v>
      </c>
      <c r="S89" s="113">
        <v>54641.085359144912</v>
      </c>
      <c r="T89" s="113">
        <v>55843.487213435626</v>
      </c>
      <c r="U89" s="113">
        <v>56987.247501037622</v>
      </c>
    </row>
    <row r="90" spans="1:21">
      <c r="A90" s="82"/>
      <c r="B90" s="226" t="s">
        <v>123</v>
      </c>
      <c r="C90" s="225" t="s">
        <v>127</v>
      </c>
      <c r="D90" s="476" t="s">
        <v>445</v>
      </c>
      <c r="E90" s="123">
        <v>435655.8522962358</v>
      </c>
      <c r="F90" s="113">
        <v>439523.68111226405</v>
      </c>
      <c r="G90" s="113">
        <v>450183.64426817966</v>
      </c>
      <c r="H90" s="113">
        <v>462612.84933110233</v>
      </c>
      <c r="I90" s="113">
        <v>474712.35187746084</v>
      </c>
      <c r="J90" s="113">
        <v>487199.68915476091</v>
      </c>
      <c r="K90" s="113">
        <v>499697.35234780208</v>
      </c>
      <c r="L90" s="113">
        <v>512588.44865747046</v>
      </c>
      <c r="M90" s="113">
        <v>525473.08622157213</v>
      </c>
      <c r="N90" s="113">
        <v>538764.92606806091</v>
      </c>
      <c r="O90" s="113">
        <v>552040.65562145459</v>
      </c>
      <c r="P90" s="113">
        <v>565719.71525329177</v>
      </c>
      <c r="Q90" s="113">
        <v>579354.3571322402</v>
      </c>
      <c r="R90" s="113">
        <v>592915.75343752082</v>
      </c>
      <c r="S90" s="113">
        <v>606382.77654660807</v>
      </c>
      <c r="T90" s="113">
        <v>619726.50444178551</v>
      </c>
      <c r="U90" s="113">
        <v>632419.45397492952</v>
      </c>
    </row>
    <row r="91" spans="1:21">
      <c r="A91" s="82"/>
      <c r="B91" s="226" t="s">
        <v>124</v>
      </c>
      <c r="C91" s="225" t="s">
        <v>127</v>
      </c>
      <c r="D91" s="476" t="s">
        <v>445</v>
      </c>
      <c r="E91" s="123">
        <v>248946.2013121348</v>
      </c>
      <c r="F91" s="113">
        <v>251156.38920700809</v>
      </c>
      <c r="G91" s="113">
        <v>257247.79672467415</v>
      </c>
      <c r="H91" s="113">
        <v>264350.19961777283</v>
      </c>
      <c r="I91" s="113">
        <v>271264.20107283484</v>
      </c>
      <c r="J91" s="113">
        <v>278399.82237414917</v>
      </c>
      <c r="K91" s="113">
        <v>285541.3441987441</v>
      </c>
      <c r="L91" s="113">
        <v>292907.68494712602</v>
      </c>
      <c r="M91" s="113">
        <v>300270.33498375554</v>
      </c>
      <c r="N91" s="113">
        <v>307865.67203889199</v>
      </c>
      <c r="O91" s="113">
        <v>315451.80321225984</v>
      </c>
      <c r="P91" s="113">
        <v>323268.4087161668</v>
      </c>
      <c r="Q91" s="113">
        <v>331059.63264699449</v>
      </c>
      <c r="R91" s="113">
        <v>338809.00196429767</v>
      </c>
      <c r="S91" s="113">
        <v>346504.44374091894</v>
      </c>
      <c r="T91" s="113">
        <v>354129.43110959174</v>
      </c>
      <c r="U91" s="113">
        <v>361382.54512853117</v>
      </c>
    </row>
    <row r="92" spans="1:21" ht="12.75">
      <c r="B92" s="491"/>
      <c r="C92" s="491"/>
      <c r="D92" s="491"/>
      <c r="E92" s="64"/>
      <c r="F92" s="40"/>
      <c r="G92" s="40"/>
      <c r="H92" s="54"/>
      <c r="I92" s="40"/>
      <c r="J92" s="44"/>
      <c r="K92" s="45"/>
    </row>
    <row r="93" spans="1:21" ht="20.25">
      <c r="B93" s="492"/>
      <c r="C93" s="492"/>
      <c r="D93" s="492"/>
      <c r="H93" s="43"/>
      <c r="I93" s="43"/>
      <c r="J93" s="43"/>
      <c r="K93" s="43"/>
    </row>
    <row r="94" spans="1:21">
      <c r="A94" s="82"/>
      <c r="B94" s="226"/>
      <c r="C94" s="479"/>
      <c r="D94" s="478"/>
      <c r="E94" s="118"/>
      <c r="F94" s="118"/>
      <c r="G94" s="118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</row>
    <row r="95" spans="1:21" ht="13.5">
      <c r="A95" s="82"/>
      <c r="B95" s="477" t="s">
        <v>125</v>
      </c>
      <c r="C95" s="480"/>
      <c r="D95" s="478"/>
      <c r="E95" s="77">
        <f t="shared" ref="E95:U95" si="21">E14</f>
        <v>2024</v>
      </c>
      <c r="F95" s="77">
        <f t="shared" si="21"/>
        <v>2025</v>
      </c>
      <c r="G95" s="77">
        <f t="shared" si="21"/>
        <v>2026</v>
      </c>
      <c r="H95" s="77">
        <f t="shared" si="21"/>
        <v>2027</v>
      </c>
      <c r="I95" s="77">
        <f t="shared" si="21"/>
        <v>2028</v>
      </c>
      <c r="J95" s="77">
        <f t="shared" si="21"/>
        <v>2029</v>
      </c>
      <c r="K95" s="77">
        <f t="shared" si="21"/>
        <v>2030</v>
      </c>
      <c r="L95" s="77">
        <f t="shared" si="21"/>
        <v>2031</v>
      </c>
      <c r="M95" s="77">
        <f t="shared" si="21"/>
        <v>2032</v>
      </c>
      <c r="N95" s="77">
        <f t="shared" si="21"/>
        <v>2033</v>
      </c>
      <c r="O95" s="77">
        <f t="shared" si="21"/>
        <v>2034</v>
      </c>
      <c r="P95" s="77">
        <f t="shared" si="21"/>
        <v>2035</v>
      </c>
      <c r="Q95" s="77">
        <f t="shared" si="21"/>
        <v>2036</v>
      </c>
      <c r="R95" s="77">
        <f t="shared" si="21"/>
        <v>2037</v>
      </c>
      <c r="S95" s="77">
        <f t="shared" si="21"/>
        <v>2038</v>
      </c>
      <c r="T95" s="77">
        <f t="shared" si="21"/>
        <v>2039</v>
      </c>
      <c r="U95" s="77">
        <f t="shared" si="21"/>
        <v>2040</v>
      </c>
    </row>
    <row r="96" spans="1:21" ht="24">
      <c r="A96" s="82"/>
      <c r="B96" s="226" t="s">
        <v>323</v>
      </c>
      <c r="C96" s="225" t="s">
        <v>162</v>
      </c>
      <c r="D96" s="478" t="s">
        <v>195</v>
      </c>
      <c r="E96" s="119">
        <v>2.68</v>
      </c>
      <c r="F96" s="119">
        <f>E96</f>
        <v>2.68</v>
      </c>
      <c r="G96" s="119">
        <f t="shared" ref="G96:S96" si="22">F96</f>
        <v>2.68</v>
      </c>
      <c r="H96" s="119">
        <f t="shared" si="22"/>
        <v>2.68</v>
      </c>
      <c r="I96" s="119">
        <f t="shared" si="22"/>
        <v>2.68</v>
      </c>
      <c r="J96" s="119">
        <f t="shared" si="22"/>
        <v>2.68</v>
      </c>
      <c r="K96" s="119">
        <f t="shared" si="22"/>
        <v>2.68</v>
      </c>
      <c r="L96" s="119">
        <f t="shared" si="22"/>
        <v>2.68</v>
      </c>
      <c r="M96" s="119">
        <f t="shared" si="22"/>
        <v>2.68</v>
      </c>
      <c r="N96" s="119">
        <f t="shared" si="22"/>
        <v>2.68</v>
      </c>
      <c r="O96" s="119">
        <f t="shared" si="22"/>
        <v>2.68</v>
      </c>
      <c r="P96" s="119">
        <f t="shared" si="22"/>
        <v>2.68</v>
      </c>
      <c r="Q96" s="119">
        <f t="shared" si="22"/>
        <v>2.68</v>
      </c>
      <c r="R96" s="119">
        <f t="shared" si="22"/>
        <v>2.68</v>
      </c>
      <c r="S96" s="119">
        <f t="shared" si="22"/>
        <v>2.68</v>
      </c>
      <c r="T96" s="119">
        <f t="shared" ref="T96" si="23">S96</f>
        <v>2.68</v>
      </c>
      <c r="U96" s="119">
        <f t="shared" ref="U96" si="24">T96</f>
        <v>2.68</v>
      </c>
    </row>
    <row r="97" spans="1:21" ht="13.5">
      <c r="A97" s="82"/>
      <c r="B97" s="226" t="s">
        <v>71</v>
      </c>
      <c r="C97" s="225" t="s">
        <v>70</v>
      </c>
      <c r="D97" s="478" t="s">
        <v>445</v>
      </c>
      <c r="E97" s="117">
        <v>655.58463225699438</v>
      </c>
      <c r="F97" s="117">
        <v>753.34725285672152</v>
      </c>
      <c r="G97" s="117">
        <v>851.10987345644878</v>
      </c>
      <c r="H97" s="117">
        <v>948.87249405617604</v>
      </c>
      <c r="I97" s="117">
        <v>1046.6351146559032</v>
      </c>
      <c r="J97" s="117">
        <v>1144.3977352556303</v>
      </c>
      <c r="K97" s="117">
        <v>1242.1603558553577</v>
      </c>
      <c r="L97" s="117">
        <v>1339.9229764550848</v>
      </c>
      <c r="M97" s="117">
        <v>1437.685597054812</v>
      </c>
      <c r="N97" s="117">
        <v>1598.7063839249508</v>
      </c>
      <c r="O97" s="117">
        <v>1759.7271707950902</v>
      </c>
      <c r="P97" s="117">
        <v>1920.747957665229</v>
      </c>
      <c r="Q97" s="117">
        <v>2081.7687445353681</v>
      </c>
      <c r="R97" s="117">
        <v>2242.7895314055068</v>
      </c>
      <c r="S97" s="117">
        <v>2398.0595758874269</v>
      </c>
      <c r="T97" s="117">
        <v>2553.3296203693462</v>
      </c>
      <c r="U97" s="117">
        <v>2708.599664851266</v>
      </c>
    </row>
    <row r="98" spans="1:21" ht="60">
      <c r="A98" s="82"/>
      <c r="B98" s="224" t="s">
        <v>272</v>
      </c>
      <c r="C98" s="225" t="s">
        <v>72</v>
      </c>
      <c r="D98" s="478" t="s">
        <v>452</v>
      </c>
      <c r="E98" s="117">
        <v>792</v>
      </c>
      <c r="F98" s="117">
        <v>784</v>
      </c>
      <c r="G98" s="117">
        <v>776</v>
      </c>
      <c r="H98" s="117">
        <v>768</v>
      </c>
      <c r="I98" s="117">
        <v>760</v>
      </c>
      <c r="J98" s="117">
        <v>740</v>
      </c>
      <c r="K98" s="117">
        <v>720</v>
      </c>
      <c r="L98" s="117">
        <v>700</v>
      </c>
      <c r="M98" s="117">
        <v>680</v>
      </c>
      <c r="N98" s="117">
        <v>660</v>
      </c>
      <c r="O98" s="117">
        <v>624</v>
      </c>
      <c r="P98" s="117">
        <v>588</v>
      </c>
      <c r="Q98" s="117">
        <v>552</v>
      </c>
      <c r="R98" s="117">
        <v>516</v>
      </c>
      <c r="S98" s="117">
        <v>480</v>
      </c>
      <c r="T98" s="117">
        <v>435</v>
      </c>
      <c r="U98" s="117">
        <v>390</v>
      </c>
    </row>
    <row r="99" spans="1:21">
      <c r="A99" s="82"/>
      <c r="B99" s="226" t="s">
        <v>211</v>
      </c>
      <c r="C99" s="225" t="s">
        <v>1</v>
      </c>
      <c r="D99" s="478" t="s">
        <v>256</v>
      </c>
      <c r="E99" s="117">
        <v>1</v>
      </c>
      <c r="F99" s="117">
        <f>E99</f>
        <v>1</v>
      </c>
      <c r="G99" s="117">
        <f t="shared" ref="G99:K99" si="25">F99</f>
        <v>1</v>
      </c>
      <c r="H99" s="117">
        <f t="shared" si="25"/>
        <v>1</v>
      </c>
      <c r="I99" s="117">
        <f t="shared" si="25"/>
        <v>1</v>
      </c>
      <c r="J99" s="117">
        <f t="shared" si="25"/>
        <v>1</v>
      </c>
      <c r="K99" s="117">
        <f t="shared" si="25"/>
        <v>1</v>
      </c>
      <c r="L99" s="117">
        <f t="shared" ref="L99" si="26">K99</f>
        <v>1</v>
      </c>
      <c r="M99" s="117">
        <f t="shared" ref="M99" si="27">L99</f>
        <v>1</v>
      </c>
      <c r="N99" s="117">
        <f t="shared" ref="N99" si="28">M99</f>
        <v>1</v>
      </c>
      <c r="O99" s="117">
        <f t="shared" ref="O99" si="29">N99</f>
        <v>1</v>
      </c>
      <c r="P99" s="117">
        <f t="shared" ref="P99" si="30">O99</f>
        <v>1</v>
      </c>
      <c r="Q99" s="117">
        <f t="shared" ref="Q99" si="31">P99</f>
        <v>1</v>
      </c>
      <c r="R99" s="117">
        <f t="shared" ref="R99" si="32">Q99</f>
        <v>1</v>
      </c>
      <c r="S99" s="117">
        <f t="shared" ref="S99" si="33">R99</f>
        <v>1</v>
      </c>
      <c r="T99" s="117">
        <f t="shared" ref="T99" si="34">S99</f>
        <v>1</v>
      </c>
      <c r="U99" s="117">
        <f t="shared" ref="U99" si="35">T99</f>
        <v>1</v>
      </c>
    </row>
    <row r="100" spans="1:21" ht="24">
      <c r="A100" s="82"/>
      <c r="B100" s="226" t="s">
        <v>387</v>
      </c>
      <c r="C100" s="225" t="s">
        <v>72</v>
      </c>
      <c r="D100" s="478" t="s">
        <v>195</v>
      </c>
      <c r="E100" s="117">
        <f>E98*E99</f>
        <v>792</v>
      </c>
      <c r="F100" s="117">
        <f t="shared" ref="F100:U100" si="36">F98*F99</f>
        <v>784</v>
      </c>
      <c r="G100" s="117">
        <f t="shared" si="36"/>
        <v>776</v>
      </c>
      <c r="H100" s="117">
        <f t="shared" si="36"/>
        <v>768</v>
      </c>
      <c r="I100" s="117">
        <f t="shared" si="36"/>
        <v>760</v>
      </c>
      <c r="J100" s="117">
        <f t="shared" si="36"/>
        <v>740</v>
      </c>
      <c r="K100" s="117">
        <f t="shared" si="36"/>
        <v>720</v>
      </c>
      <c r="L100" s="117">
        <f t="shared" si="36"/>
        <v>700</v>
      </c>
      <c r="M100" s="117">
        <f t="shared" si="36"/>
        <v>680</v>
      </c>
      <c r="N100" s="117">
        <f t="shared" si="36"/>
        <v>660</v>
      </c>
      <c r="O100" s="117">
        <f t="shared" si="36"/>
        <v>624</v>
      </c>
      <c r="P100" s="117">
        <f t="shared" si="36"/>
        <v>588</v>
      </c>
      <c r="Q100" s="117">
        <f t="shared" si="36"/>
        <v>552</v>
      </c>
      <c r="R100" s="117">
        <f t="shared" si="36"/>
        <v>516</v>
      </c>
      <c r="S100" s="117">
        <f t="shared" si="36"/>
        <v>480</v>
      </c>
      <c r="T100" s="117">
        <f t="shared" si="36"/>
        <v>435</v>
      </c>
      <c r="U100" s="117">
        <f t="shared" si="36"/>
        <v>390</v>
      </c>
    </row>
    <row r="101" spans="1:21">
      <c r="A101" s="82"/>
      <c r="B101" s="226"/>
      <c r="C101" s="223"/>
      <c r="D101" s="47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</row>
    <row r="102" spans="1:21">
      <c r="A102" s="82"/>
      <c r="B102" s="477" t="s">
        <v>139</v>
      </c>
      <c r="C102" s="223"/>
      <c r="D102" s="47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</row>
    <row r="103" spans="1:21" ht="12" customHeight="1">
      <c r="A103" s="82"/>
      <c r="B103" s="226" t="s">
        <v>197</v>
      </c>
      <c r="C103" s="223" t="s">
        <v>1</v>
      </c>
      <c r="D103" s="521" t="s">
        <v>453</v>
      </c>
      <c r="E103" s="114">
        <v>1.44E-2</v>
      </c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</row>
    <row r="104" spans="1:21">
      <c r="A104" s="82"/>
      <c r="B104" s="226" t="s">
        <v>198</v>
      </c>
      <c r="C104" s="223" t="s">
        <v>1</v>
      </c>
      <c r="D104" s="522"/>
      <c r="E104" s="114">
        <v>3.0300000000000001E-2</v>
      </c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</row>
    <row r="105" spans="1:21">
      <c r="A105" s="82"/>
      <c r="B105" s="226" t="s">
        <v>199</v>
      </c>
      <c r="C105" s="223" t="s">
        <v>1</v>
      </c>
      <c r="D105" s="522"/>
      <c r="E105" s="114">
        <v>0.02</v>
      </c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</row>
    <row r="106" spans="1:21">
      <c r="A106" s="82"/>
      <c r="B106" s="226" t="s">
        <v>200</v>
      </c>
      <c r="C106" s="223" t="s">
        <v>1</v>
      </c>
      <c r="D106" s="522"/>
      <c r="E106" s="114">
        <f>ROUND(E103+E104+E105,3)</f>
        <v>6.5000000000000002E-2</v>
      </c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</row>
    <row r="107" spans="1:21">
      <c r="A107" s="82"/>
      <c r="B107" s="226" t="s">
        <v>140</v>
      </c>
      <c r="C107" s="223" t="s">
        <v>88</v>
      </c>
      <c r="D107" s="523"/>
      <c r="E107" s="451">
        <f>1/(1-E106)</f>
        <v>1.0695187165775399</v>
      </c>
      <c r="F107" s="16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</row>
    <row r="108" spans="1:21">
      <c r="B108" s="167"/>
      <c r="C108" s="71"/>
      <c r="D108" s="240"/>
      <c r="E108" s="10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</row>
    <row r="109" spans="1:21">
      <c r="A109" s="227" t="s">
        <v>20</v>
      </c>
      <c r="B109" s="81" t="s">
        <v>430</v>
      </c>
      <c r="C109" s="81"/>
      <c r="D109" s="81"/>
      <c r="E109" s="71"/>
      <c r="F109" s="72"/>
      <c r="G109" s="72"/>
      <c r="H109" s="236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</row>
    <row r="110" spans="1:21" ht="3" customHeight="1">
      <c r="C110" s="71"/>
      <c r="D110" s="241"/>
      <c r="E110" s="10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</row>
    <row r="111" spans="1:21" ht="48" customHeight="1">
      <c r="A111" s="429" t="s">
        <v>128</v>
      </c>
      <c r="B111" s="429" t="s">
        <v>129</v>
      </c>
      <c r="C111" s="429" t="s">
        <v>131</v>
      </c>
      <c r="D111" s="429" t="s">
        <v>132</v>
      </c>
      <c r="E111" s="429" t="s">
        <v>273</v>
      </c>
      <c r="F111" s="429" t="s">
        <v>347</v>
      </c>
      <c r="G111" s="429" t="s">
        <v>130</v>
      </c>
      <c r="H111" s="429" t="s">
        <v>408</v>
      </c>
      <c r="J111" s="180"/>
      <c r="L111" s="138"/>
      <c r="O111" s="39"/>
      <c r="P111" s="39"/>
      <c r="Q111" s="39"/>
      <c r="R111" s="39"/>
      <c r="S111" s="39"/>
    </row>
    <row r="112" spans="1:21">
      <c r="A112" s="176">
        <v>1</v>
      </c>
      <c r="B112" s="358" t="s">
        <v>465</v>
      </c>
      <c r="C112" s="426" t="s">
        <v>446</v>
      </c>
      <c r="D112" s="360">
        <v>2020</v>
      </c>
      <c r="E112" s="360" t="s">
        <v>204</v>
      </c>
      <c r="F112" s="359" t="s">
        <v>416</v>
      </c>
      <c r="G112" s="360">
        <v>6</v>
      </c>
      <c r="H112" s="430">
        <v>20</v>
      </c>
      <c r="I112" s="11"/>
      <c r="N112" s="335" t="s">
        <v>204</v>
      </c>
      <c r="O112" s="335" t="s">
        <v>309</v>
      </c>
      <c r="Q112" s="39"/>
      <c r="R112" s="39"/>
      <c r="S112" s="39"/>
    </row>
    <row r="113" spans="1:19">
      <c r="A113" s="176">
        <f>A112+1</f>
        <v>2</v>
      </c>
      <c r="B113" s="358" t="s">
        <v>465</v>
      </c>
      <c r="C113" s="426" t="s">
        <v>446</v>
      </c>
      <c r="D113" s="360">
        <v>2020</v>
      </c>
      <c r="E113" s="360" t="s">
        <v>204</v>
      </c>
      <c r="F113" s="359" t="s">
        <v>416</v>
      </c>
      <c r="G113" s="360">
        <v>6</v>
      </c>
      <c r="H113" s="430">
        <v>23.5</v>
      </c>
      <c r="Q113" s="39"/>
      <c r="R113" s="39"/>
      <c r="S113" s="39"/>
    </row>
    <row r="114" spans="1:19">
      <c r="A114" s="176">
        <f t="shared" ref="A114:A132" si="37">A113+1</f>
        <v>3</v>
      </c>
      <c r="B114" s="358" t="s">
        <v>465</v>
      </c>
      <c r="C114" s="426" t="s">
        <v>446</v>
      </c>
      <c r="D114" s="360">
        <v>2020</v>
      </c>
      <c r="E114" s="360" t="s">
        <v>204</v>
      </c>
      <c r="F114" s="359" t="s">
        <v>416</v>
      </c>
      <c r="G114" s="360">
        <v>6</v>
      </c>
      <c r="H114" s="430">
        <v>23.5</v>
      </c>
      <c r="Q114" s="39"/>
      <c r="R114" s="39"/>
      <c r="S114" s="39"/>
    </row>
    <row r="115" spans="1:19">
      <c r="A115" s="176">
        <f t="shared" si="37"/>
        <v>4</v>
      </c>
      <c r="B115" s="358" t="s">
        <v>465</v>
      </c>
      <c r="C115" s="426" t="s">
        <v>446</v>
      </c>
      <c r="D115" s="360">
        <v>2020</v>
      </c>
      <c r="E115" s="360" t="s">
        <v>204</v>
      </c>
      <c r="F115" s="359" t="s">
        <v>416</v>
      </c>
      <c r="G115" s="360">
        <v>6</v>
      </c>
      <c r="H115" s="430">
        <v>20</v>
      </c>
      <c r="M115" s="11" t="s">
        <v>420</v>
      </c>
      <c r="Q115" s="39"/>
      <c r="R115" s="39"/>
      <c r="S115" s="39"/>
    </row>
    <row r="116" spans="1:19">
      <c r="A116" s="176">
        <f t="shared" si="37"/>
        <v>5</v>
      </c>
      <c r="B116" s="358" t="s">
        <v>465</v>
      </c>
      <c r="C116" s="426" t="s">
        <v>446</v>
      </c>
      <c r="D116" s="360">
        <v>2020</v>
      </c>
      <c r="E116" s="360" t="s">
        <v>204</v>
      </c>
      <c r="F116" s="359" t="s">
        <v>416</v>
      </c>
      <c r="G116" s="360">
        <v>6</v>
      </c>
      <c r="H116" s="430">
        <v>20</v>
      </c>
      <c r="K116" s="336">
        <v>1</v>
      </c>
      <c r="L116" s="336"/>
      <c r="M116" s="83" t="s">
        <v>310</v>
      </c>
      <c r="N116" s="32">
        <f t="shared" ref="N116:N121" si="38">COUNTIFS($G$112:$G$148,$K116,$E$112:$E$148,"ON",$C$112:$C$148,"mini")</f>
        <v>0</v>
      </c>
      <c r="O116" s="32"/>
      <c r="Q116" s="39"/>
      <c r="R116" s="39"/>
      <c r="S116" s="39"/>
    </row>
    <row r="117" spans="1:19">
      <c r="A117" s="176">
        <f t="shared" si="37"/>
        <v>6</v>
      </c>
      <c r="B117" s="358" t="s">
        <v>465</v>
      </c>
      <c r="C117" s="426" t="s">
        <v>446</v>
      </c>
      <c r="D117" s="360">
        <v>2020</v>
      </c>
      <c r="E117" s="360" t="s">
        <v>204</v>
      </c>
      <c r="F117" s="359" t="s">
        <v>416</v>
      </c>
      <c r="G117" s="360">
        <v>6</v>
      </c>
      <c r="H117" s="430">
        <v>20</v>
      </c>
      <c r="K117" s="336">
        <v>2</v>
      </c>
      <c r="L117" s="336"/>
      <c r="M117" s="83" t="s">
        <v>223</v>
      </c>
      <c r="N117" s="32">
        <f t="shared" si="38"/>
        <v>0</v>
      </c>
      <c r="O117" s="32"/>
      <c r="Q117" s="39"/>
      <c r="R117" s="39"/>
      <c r="S117" s="39"/>
    </row>
    <row r="118" spans="1:19">
      <c r="A118" s="176">
        <f t="shared" si="37"/>
        <v>7</v>
      </c>
      <c r="B118" s="358" t="s">
        <v>465</v>
      </c>
      <c r="C118" s="426" t="s">
        <v>446</v>
      </c>
      <c r="D118" s="360">
        <v>2020</v>
      </c>
      <c r="E118" s="360" t="s">
        <v>204</v>
      </c>
      <c r="F118" s="359" t="s">
        <v>416</v>
      </c>
      <c r="G118" s="360">
        <v>6</v>
      </c>
      <c r="H118" s="430">
        <v>20</v>
      </c>
      <c r="K118" s="336">
        <v>3</v>
      </c>
      <c r="L118" s="336"/>
      <c r="M118" s="83" t="s">
        <v>224</v>
      </c>
      <c r="N118" s="32">
        <f t="shared" si="38"/>
        <v>0</v>
      </c>
      <c r="O118" s="32"/>
      <c r="Q118" s="39"/>
      <c r="R118" s="39"/>
      <c r="S118" s="39"/>
    </row>
    <row r="119" spans="1:19">
      <c r="A119" s="176">
        <f t="shared" si="37"/>
        <v>8</v>
      </c>
      <c r="B119" s="358" t="s">
        <v>465</v>
      </c>
      <c r="C119" s="426" t="s">
        <v>446</v>
      </c>
      <c r="D119" s="360">
        <v>2020</v>
      </c>
      <c r="E119" s="360" t="s">
        <v>204</v>
      </c>
      <c r="F119" s="359" t="s">
        <v>416</v>
      </c>
      <c r="G119" s="360">
        <v>6</v>
      </c>
      <c r="H119" s="430">
        <v>20</v>
      </c>
      <c r="K119" s="336">
        <v>4</v>
      </c>
      <c r="L119" s="336"/>
      <c r="M119" s="83" t="s">
        <v>311</v>
      </c>
      <c r="N119" s="32">
        <f t="shared" si="38"/>
        <v>0</v>
      </c>
      <c r="O119" s="32"/>
      <c r="Q119" s="39"/>
      <c r="R119" s="39"/>
      <c r="S119" s="39"/>
    </row>
    <row r="120" spans="1:19">
      <c r="A120" s="176">
        <f t="shared" si="37"/>
        <v>9</v>
      </c>
      <c r="B120" s="358" t="s">
        <v>465</v>
      </c>
      <c r="C120" s="426" t="s">
        <v>446</v>
      </c>
      <c r="D120" s="360">
        <v>2020</v>
      </c>
      <c r="E120" s="360" t="s">
        <v>204</v>
      </c>
      <c r="F120" s="359" t="s">
        <v>416</v>
      </c>
      <c r="G120" s="360">
        <v>6</v>
      </c>
      <c r="H120" s="430">
        <v>20</v>
      </c>
      <c r="K120" s="336">
        <v>5</v>
      </c>
      <c r="L120" s="336"/>
      <c r="M120" s="83" t="s">
        <v>346</v>
      </c>
      <c r="N120" s="32">
        <f t="shared" si="38"/>
        <v>2</v>
      </c>
      <c r="O120" s="32"/>
      <c r="Q120" s="39"/>
      <c r="R120" s="39"/>
      <c r="S120" s="39"/>
    </row>
    <row r="121" spans="1:19">
      <c r="A121" s="176">
        <f t="shared" si="37"/>
        <v>10</v>
      </c>
      <c r="B121" s="358" t="s">
        <v>465</v>
      </c>
      <c r="C121" s="426" t="s">
        <v>446</v>
      </c>
      <c r="D121" s="360">
        <v>2020</v>
      </c>
      <c r="E121" s="360" t="s">
        <v>204</v>
      </c>
      <c r="F121" s="359" t="s">
        <v>416</v>
      </c>
      <c r="G121" s="360">
        <v>6</v>
      </c>
      <c r="H121" s="430">
        <v>20</v>
      </c>
      <c r="K121" s="336">
        <v>6</v>
      </c>
      <c r="L121" s="336"/>
      <c r="M121" s="83" t="s">
        <v>225</v>
      </c>
      <c r="N121" s="32">
        <f t="shared" si="38"/>
        <v>14</v>
      </c>
      <c r="O121" s="32"/>
      <c r="Q121" s="39"/>
      <c r="R121" s="39"/>
      <c r="S121" s="39"/>
    </row>
    <row r="122" spans="1:19">
      <c r="A122" s="176">
        <f t="shared" si="37"/>
        <v>11</v>
      </c>
      <c r="B122" s="358" t="s">
        <v>465</v>
      </c>
      <c r="C122" s="426" t="s">
        <v>446</v>
      </c>
      <c r="D122" s="360">
        <v>2020</v>
      </c>
      <c r="E122" s="360" t="s">
        <v>204</v>
      </c>
      <c r="F122" s="359" t="s">
        <v>416</v>
      </c>
      <c r="G122" s="360">
        <v>6</v>
      </c>
      <c r="H122" s="430">
        <v>20</v>
      </c>
      <c r="K122" s="336"/>
      <c r="L122" s="336"/>
      <c r="M122" s="83"/>
      <c r="N122" s="32"/>
      <c r="O122" s="238"/>
      <c r="Q122" s="39"/>
      <c r="R122" s="39"/>
      <c r="S122" s="39"/>
    </row>
    <row r="123" spans="1:19">
      <c r="A123" s="176">
        <f t="shared" si="37"/>
        <v>12</v>
      </c>
      <c r="B123" s="358" t="s">
        <v>466</v>
      </c>
      <c r="C123" s="456" t="s">
        <v>467</v>
      </c>
      <c r="D123" s="360">
        <v>2020</v>
      </c>
      <c r="E123" s="360" t="s">
        <v>204</v>
      </c>
      <c r="F123" s="359" t="s">
        <v>416</v>
      </c>
      <c r="G123" s="360">
        <v>6</v>
      </c>
      <c r="H123" s="430">
        <v>33</v>
      </c>
      <c r="K123" s="336"/>
      <c r="L123" s="336"/>
      <c r="M123" s="308" t="s">
        <v>418</v>
      </c>
      <c r="N123" s="32"/>
      <c r="O123" s="238"/>
      <c r="Q123" s="39"/>
      <c r="R123" s="39"/>
      <c r="S123" s="39"/>
    </row>
    <row r="124" spans="1:19">
      <c r="A124" s="176">
        <f t="shared" si="37"/>
        <v>13</v>
      </c>
      <c r="B124" s="358" t="s">
        <v>466</v>
      </c>
      <c r="C124" s="456" t="s">
        <v>467</v>
      </c>
      <c r="D124" s="360">
        <v>2020</v>
      </c>
      <c r="E124" s="360" t="s">
        <v>204</v>
      </c>
      <c r="F124" s="359" t="s">
        <v>416</v>
      </c>
      <c r="G124" s="360">
        <v>6</v>
      </c>
      <c r="H124" s="430">
        <v>33</v>
      </c>
      <c r="K124" s="336">
        <v>6</v>
      </c>
      <c r="L124" s="336"/>
      <c r="M124" s="83" t="s">
        <v>394</v>
      </c>
      <c r="N124" s="32">
        <f>COUNTIFS($E$112:$E$148,"elektryczny",$C$112:$C$148,"midi")</f>
        <v>0</v>
      </c>
      <c r="O124" s="32"/>
      <c r="Q124" s="39"/>
      <c r="R124" s="39"/>
      <c r="S124" s="39"/>
    </row>
    <row r="125" spans="1:19">
      <c r="A125" s="176">
        <f t="shared" si="37"/>
        <v>14</v>
      </c>
      <c r="B125" s="358" t="s">
        <v>466</v>
      </c>
      <c r="C125" s="456" t="s">
        <v>467</v>
      </c>
      <c r="D125" s="360">
        <v>2020</v>
      </c>
      <c r="E125" s="360" t="s">
        <v>204</v>
      </c>
      <c r="F125" s="359" t="s">
        <v>416</v>
      </c>
      <c r="G125" s="360">
        <v>6</v>
      </c>
      <c r="H125" s="430">
        <v>33</v>
      </c>
      <c r="N125" s="339">
        <f>SUM(N116:N124)</f>
        <v>16</v>
      </c>
      <c r="O125" s="339">
        <f>SUM(O116:O124)</f>
        <v>0</v>
      </c>
      <c r="Q125" s="39"/>
      <c r="R125" s="39"/>
      <c r="S125" s="39"/>
    </row>
    <row r="126" spans="1:19">
      <c r="A126" s="176">
        <f t="shared" si="37"/>
        <v>15</v>
      </c>
      <c r="B126" s="358" t="s">
        <v>465</v>
      </c>
      <c r="C126" s="426" t="s">
        <v>446</v>
      </c>
      <c r="D126" s="360">
        <v>2020</v>
      </c>
      <c r="E126" s="360" t="s">
        <v>204</v>
      </c>
      <c r="F126" s="359" t="s">
        <v>416</v>
      </c>
      <c r="G126" s="360">
        <v>6</v>
      </c>
      <c r="H126" s="430">
        <v>20</v>
      </c>
      <c r="Q126" s="39"/>
      <c r="R126" s="39"/>
      <c r="S126" s="39"/>
    </row>
    <row r="127" spans="1:19">
      <c r="A127" s="176">
        <f t="shared" si="37"/>
        <v>16</v>
      </c>
      <c r="B127" s="358" t="s">
        <v>465</v>
      </c>
      <c r="C127" s="426" t="s">
        <v>446</v>
      </c>
      <c r="D127" s="360">
        <v>2020</v>
      </c>
      <c r="E127" s="360" t="s">
        <v>204</v>
      </c>
      <c r="F127" s="359" t="s">
        <v>416</v>
      </c>
      <c r="G127" s="360">
        <v>6</v>
      </c>
      <c r="H127" s="430">
        <v>23.5</v>
      </c>
      <c r="M127" s="11" t="s">
        <v>414</v>
      </c>
      <c r="Q127" s="39"/>
      <c r="R127" s="39"/>
      <c r="S127" s="39"/>
    </row>
    <row r="128" spans="1:19">
      <c r="A128" s="176">
        <f t="shared" si="37"/>
        <v>17</v>
      </c>
      <c r="B128" s="358" t="s">
        <v>465</v>
      </c>
      <c r="C128" s="426" t="s">
        <v>446</v>
      </c>
      <c r="D128" s="360">
        <v>2020</v>
      </c>
      <c r="E128" s="360" t="s">
        <v>204</v>
      </c>
      <c r="F128" s="359" t="s">
        <v>416</v>
      </c>
      <c r="G128" s="360">
        <v>6</v>
      </c>
      <c r="H128" s="430">
        <v>23.5</v>
      </c>
      <c r="K128" s="336">
        <v>1</v>
      </c>
      <c r="L128" s="336"/>
      <c r="M128" s="83" t="s">
        <v>310</v>
      </c>
      <c r="N128" s="32">
        <f>COUNTIFS($G$112:$G$148,$K128,$E$112:$E$148,"ON",$C$112:$C$148,"maxi")</f>
        <v>0</v>
      </c>
      <c r="O128" s="32"/>
      <c r="Q128" s="39"/>
      <c r="R128" s="39"/>
      <c r="S128" s="39"/>
    </row>
    <row r="129" spans="1:19">
      <c r="A129" s="110">
        <f t="shared" si="37"/>
        <v>18</v>
      </c>
      <c r="B129" s="457" t="s">
        <v>468</v>
      </c>
      <c r="C129" s="458" t="s">
        <v>446</v>
      </c>
      <c r="D129" s="459">
        <v>2022</v>
      </c>
      <c r="E129" s="460" t="s">
        <v>394</v>
      </c>
      <c r="F129" s="461" t="s">
        <v>417</v>
      </c>
      <c r="G129" s="459"/>
      <c r="H129" s="462">
        <v>0.87</v>
      </c>
      <c r="K129" s="336">
        <v>2</v>
      </c>
      <c r="L129" s="336"/>
      <c r="M129" s="83" t="s">
        <v>223</v>
      </c>
      <c r="N129" s="32">
        <f t="shared" ref="N129:N133" si="39">COUNTIFS($G$112:$G$148,$K129,$E$112:$E$148,"ON",$C$112:$C$148,"maxi")</f>
        <v>0</v>
      </c>
      <c r="O129" s="32"/>
      <c r="Q129" s="39"/>
      <c r="R129" s="39"/>
      <c r="S129" s="39"/>
    </row>
    <row r="130" spans="1:19">
      <c r="A130" s="110">
        <f t="shared" si="37"/>
        <v>19</v>
      </c>
      <c r="B130" s="457" t="s">
        <v>468</v>
      </c>
      <c r="C130" s="458" t="s">
        <v>446</v>
      </c>
      <c r="D130" s="459">
        <v>2022</v>
      </c>
      <c r="E130" s="460" t="s">
        <v>394</v>
      </c>
      <c r="F130" s="461" t="s">
        <v>417</v>
      </c>
      <c r="G130" s="459"/>
      <c r="H130" s="462">
        <v>0.87</v>
      </c>
      <c r="K130" s="336">
        <v>3</v>
      </c>
      <c r="L130" s="336"/>
      <c r="M130" s="83" t="s">
        <v>224</v>
      </c>
      <c r="N130" s="32">
        <f t="shared" si="39"/>
        <v>0</v>
      </c>
      <c r="O130" s="32"/>
      <c r="Q130" s="39"/>
      <c r="R130" s="39"/>
      <c r="S130" s="39"/>
    </row>
    <row r="131" spans="1:19">
      <c r="A131" s="110">
        <f t="shared" si="37"/>
        <v>20</v>
      </c>
      <c r="B131" s="457" t="s">
        <v>465</v>
      </c>
      <c r="C131" s="458" t="s">
        <v>446</v>
      </c>
      <c r="D131" s="459">
        <v>2018</v>
      </c>
      <c r="E131" s="459" t="s">
        <v>204</v>
      </c>
      <c r="F131" s="461"/>
      <c r="G131" s="459">
        <v>5</v>
      </c>
      <c r="H131" s="463">
        <v>20</v>
      </c>
      <c r="K131" s="336">
        <v>4</v>
      </c>
      <c r="L131" s="336"/>
      <c r="M131" s="83" t="s">
        <v>311</v>
      </c>
      <c r="N131" s="32">
        <f t="shared" si="39"/>
        <v>0</v>
      </c>
      <c r="O131" s="32"/>
      <c r="Q131" s="39"/>
      <c r="R131" s="39"/>
      <c r="S131" s="39"/>
    </row>
    <row r="132" spans="1:19">
      <c r="A132" s="110">
        <f t="shared" si="37"/>
        <v>21</v>
      </c>
      <c r="B132" s="457" t="s">
        <v>465</v>
      </c>
      <c r="C132" s="458" t="s">
        <v>446</v>
      </c>
      <c r="D132" s="459">
        <v>2017</v>
      </c>
      <c r="E132" s="459" t="s">
        <v>204</v>
      </c>
      <c r="F132" s="461"/>
      <c r="G132" s="459">
        <v>5</v>
      </c>
      <c r="H132" s="463">
        <v>20</v>
      </c>
      <c r="J132" s="75"/>
      <c r="K132" s="336">
        <v>5</v>
      </c>
      <c r="L132" s="336"/>
      <c r="M132" s="83" t="s">
        <v>346</v>
      </c>
      <c r="N132" s="32">
        <f t="shared" si="39"/>
        <v>0</v>
      </c>
      <c r="O132" s="32"/>
      <c r="Q132" s="39"/>
      <c r="R132" s="39"/>
      <c r="S132" s="39"/>
    </row>
    <row r="133" spans="1:19" hidden="1">
      <c r="A133" s="176"/>
      <c r="B133" s="358"/>
      <c r="C133" s="426"/>
      <c r="D133" s="360"/>
      <c r="E133" s="360"/>
      <c r="F133" s="359"/>
      <c r="G133" s="360"/>
      <c r="H133" s="430"/>
      <c r="J133" s="75"/>
      <c r="K133" s="336">
        <v>6</v>
      </c>
      <c r="L133" s="336"/>
      <c r="M133" s="83" t="s">
        <v>225</v>
      </c>
      <c r="N133" s="32">
        <f t="shared" si="39"/>
        <v>3</v>
      </c>
      <c r="O133" s="32"/>
      <c r="Q133" s="39"/>
      <c r="R133" s="39"/>
      <c r="S133" s="39"/>
    </row>
    <row r="134" spans="1:19" hidden="1">
      <c r="A134" s="176"/>
      <c r="B134" s="358"/>
      <c r="C134" s="426"/>
      <c r="D134" s="360"/>
      <c r="E134" s="360"/>
      <c r="F134" s="359"/>
      <c r="G134" s="360"/>
      <c r="H134" s="430"/>
      <c r="J134" s="75"/>
      <c r="K134" s="336"/>
      <c r="L134" s="336"/>
      <c r="M134" s="83"/>
      <c r="N134" s="32"/>
      <c r="O134" s="238"/>
      <c r="Q134" s="39"/>
      <c r="R134" s="39"/>
      <c r="S134" s="39"/>
    </row>
    <row r="135" spans="1:19" hidden="1">
      <c r="A135" s="176"/>
      <c r="B135" s="358"/>
      <c r="C135" s="426"/>
      <c r="D135" s="360"/>
      <c r="E135" s="360"/>
      <c r="F135" s="359"/>
      <c r="G135" s="360"/>
      <c r="H135" s="430"/>
      <c r="J135" s="75"/>
      <c r="K135" s="336"/>
      <c r="L135" s="336"/>
      <c r="M135" s="83"/>
      <c r="N135" s="32"/>
      <c r="O135" s="32"/>
      <c r="P135" s="35"/>
      <c r="Q135" s="39"/>
      <c r="R135" s="39"/>
      <c r="S135" s="39"/>
    </row>
    <row r="136" spans="1:19" hidden="1">
      <c r="A136" s="176"/>
      <c r="B136" s="358"/>
      <c r="C136" s="426"/>
      <c r="D136" s="360"/>
      <c r="E136" s="360"/>
      <c r="F136" s="359"/>
      <c r="G136" s="360"/>
      <c r="H136" s="430"/>
      <c r="J136" s="75"/>
      <c r="K136" s="336">
        <v>6</v>
      </c>
      <c r="L136" s="336"/>
      <c r="M136" s="83" t="s">
        <v>394</v>
      </c>
      <c r="N136" s="32">
        <f>COUNTIFS($E$112:$E$148,"elektryczny",$C$112:$C$148,"maxi")</f>
        <v>0</v>
      </c>
      <c r="O136" s="32"/>
      <c r="Q136" s="39"/>
      <c r="R136" s="39"/>
      <c r="S136" s="39"/>
    </row>
    <row r="137" spans="1:19" hidden="1">
      <c r="A137" s="176"/>
      <c r="B137" s="358"/>
      <c r="C137" s="426"/>
      <c r="D137" s="360"/>
      <c r="E137" s="360"/>
      <c r="F137" s="359"/>
      <c r="G137" s="360"/>
      <c r="H137" s="430"/>
      <c r="J137" s="75"/>
      <c r="N137" s="339">
        <f>SUM(N128:N136)</f>
        <v>3</v>
      </c>
      <c r="O137" s="339">
        <f>SUM(O128:O136)</f>
        <v>0</v>
      </c>
      <c r="Q137" s="39"/>
      <c r="R137" s="39"/>
      <c r="S137" s="39"/>
    </row>
    <row r="138" spans="1:19" hidden="1">
      <c r="A138" s="176"/>
      <c r="B138" s="358"/>
      <c r="C138" s="426"/>
      <c r="D138" s="360"/>
      <c r="E138" s="360"/>
      <c r="F138" s="359"/>
      <c r="G138" s="360"/>
      <c r="H138" s="430"/>
      <c r="J138" s="75"/>
      <c r="M138" s="11" t="s">
        <v>437</v>
      </c>
      <c r="Q138" s="39"/>
      <c r="R138" s="39"/>
      <c r="S138" s="39"/>
    </row>
    <row r="139" spans="1:19" hidden="1">
      <c r="A139" s="176"/>
      <c r="B139" s="358"/>
      <c r="C139" s="426"/>
      <c r="D139" s="360"/>
      <c r="E139" s="360"/>
      <c r="F139" s="359"/>
      <c r="G139" s="360"/>
      <c r="H139" s="430"/>
      <c r="J139" s="75"/>
      <c r="K139" s="336">
        <v>1</v>
      </c>
      <c r="L139" s="336"/>
      <c r="M139" s="83" t="s">
        <v>310</v>
      </c>
      <c r="N139" s="32">
        <f t="shared" ref="N139:N144" si="40">COUNTIFS($G$112:$G$148,$K139,$E$112:$E$148,"ON",$C$112:$C$148,"&gt;=15")</f>
        <v>0</v>
      </c>
      <c r="O139" s="32"/>
      <c r="Q139" s="39"/>
      <c r="R139" s="39"/>
      <c r="S139" s="39"/>
    </row>
    <row r="140" spans="1:19" hidden="1">
      <c r="A140" s="176"/>
      <c r="B140" s="358"/>
      <c r="C140" s="426"/>
      <c r="D140" s="360"/>
      <c r="E140" s="360"/>
      <c r="F140" s="359"/>
      <c r="G140" s="360"/>
      <c r="H140" s="430"/>
      <c r="J140" s="75"/>
      <c r="K140" s="336">
        <v>2</v>
      </c>
      <c r="L140" s="336"/>
      <c r="M140" s="83" t="s">
        <v>223</v>
      </c>
      <c r="N140" s="32">
        <f t="shared" si="40"/>
        <v>0</v>
      </c>
      <c r="O140" s="32"/>
      <c r="Q140" s="39"/>
      <c r="R140" s="39"/>
      <c r="S140" s="39"/>
    </row>
    <row r="141" spans="1:19" hidden="1">
      <c r="A141" s="176"/>
      <c r="B141" s="358"/>
      <c r="C141" s="426"/>
      <c r="D141" s="360"/>
      <c r="E141" s="360"/>
      <c r="F141" s="359"/>
      <c r="G141" s="360"/>
      <c r="H141" s="430"/>
      <c r="J141" s="75"/>
      <c r="K141" s="336">
        <v>3</v>
      </c>
      <c r="L141" s="336"/>
      <c r="M141" s="83" t="s">
        <v>224</v>
      </c>
      <c r="N141" s="32">
        <f t="shared" si="40"/>
        <v>0</v>
      </c>
      <c r="O141" s="32"/>
      <c r="Q141" s="39"/>
      <c r="R141" s="39"/>
      <c r="S141" s="39"/>
    </row>
    <row r="142" spans="1:19" hidden="1">
      <c r="A142" s="176"/>
      <c r="B142" s="358"/>
      <c r="C142" s="426"/>
      <c r="D142" s="360"/>
      <c r="E142" s="360"/>
      <c r="F142" s="359"/>
      <c r="G142" s="360"/>
      <c r="H142" s="430"/>
      <c r="J142" s="75"/>
      <c r="K142" s="336">
        <v>4</v>
      </c>
      <c r="L142" s="336"/>
      <c r="M142" s="83" t="s">
        <v>311</v>
      </c>
      <c r="N142" s="32">
        <f t="shared" si="40"/>
        <v>0</v>
      </c>
      <c r="O142" s="32"/>
      <c r="Q142" s="39"/>
      <c r="R142" s="39"/>
      <c r="S142" s="39"/>
    </row>
    <row r="143" spans="1:19" hidden="1">
      <c r="A143" s="176"/>
      <c r="B143" s="358"/>
      <c r="C143" s="426"/>
      <c r="D143" s="360"/>
      <c r="E143" s="360"/>
      <c r="F143" s="359"/>
      <c r="G143" s="360"/>
      <c r="H143" s="430"/>
      <c r="J143" s="75"/>
      <c r="K143" s="336">
        <v>5</v>
      </c>
      <c r="L143" s="336"/>
      <c r="M143" s="83" t="s">
        <v>346</v>
      </c>
      <c r="N143" s="32">
        <f t="shared" si="40"/>
        <v>0</v>
      </c>
      <c r="O143" s="32"/>
      <c r="Q143" s="39"/>
      <c r="R143" s="39"/>
      <c r="S143" s="39"/>
    </row>
    <row r="144" spans="1:19" hidden="1">
      <c r="A144" s="176"/>
      <c r="B144" s="358"/>
      <c r="C144" s="426"/>
      <c r="D144" s="360"/>
      <c r="E144" s="360"/>
      <c r="F144" s="359"/>
      <c r="G144" s="360"/>
      <c r="H144" s="430"/>
      <c r="J144" s="75"/>
      <c r="K144" s="336">
        <v>6</v>
      </c>
      <c r="L144" s="336"/>
      <c r="M144" s="83" t="s">
        <v>225</v>
      </c>
      <c r="N144" s="32">
        <f t="shared" si="40"/>
        <v>0</v>
      </c>
      <c r="O144" s="32"/>
      <c r="Q144" s="39"/>
      <c r="R144" s="39"/>
      <c r="S144" s="39"/>
    </row>
    <row r="145" spans="1:20" hidden="1">
      <c r="A145" s="176"/>
      <c r="B145" s="358"/>
      <c r="C145" s="426"/>
      <c r="D145" s="360"/>
      <c r="E145" s="360"/>
      <c r="F145" s="359"/>
      <c r="G145" s="360"/>
      <c r="H145" s="430"/>
      <c r="J145" s="75"/>
      <c r="K145" s="336">
        <v>6</v>
      </c>
      <c r="L145" s="336"/>
      <c r="M145" s="83" t="s">
        <v>340</v>
      </c>
      <c r="N145" s="32">
        <f>COUNTIFS($G$112:$G$148,$K145,$E$112:$E$148,"ON hybryda",$C$112:$C$148,"&gt;=15")</f>
        <v>0</v>
      </c>
      <c r="O145" s="32"/>
      <c r="Q145" s="39"/>
      <c r="R145" s="39"/>
      <c r="S145" s="39"/>
    </row>
    <row r="146" spans="1:20" hidden="1">
      <c r="A146" s="176"/>
      <c r="B146" s="358"/>
      <c r="C146" s="426"/>
      <c r="D146" s="360"/>
      <c r="E146" s="360"/>
      <c r="F146" s="359"/>
      <c r="G146" s="360"/>
      <c r="H146" s="430"/>
      <c r="J146" s="75"/>
      <c r="N146" s="339">
        <f>SUM(N139:N145)</f>
        <v>0</v>
      </c>
      <c r="O146" s="339">
        <f>SUM(O139:O145)</f>
        <v>0</v>
      </c>
      <c r="Q146" s="39"/>
      <c r="R146" s="39"/>
      <c r="S146" s="39"/>
    </row>
    <row r="147" spans="1:20" hidden="1">
      <c r="A147" s="176"/>
      <c r="B147" s="358"/>
      <c r="C147" s="426"/>
      <c r="D147" s="360"/>
      <c r="E147" s="360"/>
      <c r="F147" s="359"/>
      <c r="G147" s="360"/>
      <c r="H147" s="430"/>
      <c r="J147" s="75"/>
      <c r="M147" s="337" t="s">
        <v>312</v>
      </c>
      <c r="N147" s="340">
        <f>N137+N146+N125</f>
        <v>19</v>
      </c>
      <c r="O147" s="341">
        <f>O137+O146+O125</f>
        <v>0</v>
      </c>
      <c r="P147" s="338">
        <f>N147+O147</f>
        <v>19</v>
      </c>
      <c r="Q147" s="39"/>
      <c r="R147" s="39"/>
      <c r="S147" s="39"/>
    </row>
    <row r="148" spans="1:20" hidden="1">
      <c r="A148" s="176"/>
      <c r="B148" s="358"/>
      <c r="C148" s="426"/>
      <c r="D148" s="360"/>
      <c r="E148" s="360"/>
      <c r="F148" s="359"/>
      <c r="G148" s="360"/>
      <c r="H148" s="430"/>
      <c r="J148" s="75"/>
      <c r="Q148" s="39"/>
      <c r="R148" s="39"/>
      <c r="S148" s="39"/>
    </row>
    <row r="149" spans="1:20">
      <c r="C149" s="71"/>
      <c r="D149" s="241"/>
      <c r="E149" s="109"/>
      <c r="F149" s="39"/>
      <c r="G149" s="161"/>
      <c r="H149" s="16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</row>
    <row r="150" spans="1:20">
      <c r="A150" s="227" t="s">
        <v>21</v>
      </c>
      <c r="B150" s="81" t="s">
        <v>133</v>
      </c>
      <c r="C150" s="71"/>
      <c r="D150" s="241"/>
      <c r="E150" s="109"/>
      <c r="F150" s="39"/>
      <c r="G150" s="161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</row>
    <row r="151" spans="1:20">
      <c r="A151" s="229"/>
      <c r="B151" s="229"/>
      <c r="C151" s="71"/>
      <c r="D151" s="241"/>
      <c r="E151" s="74"/>
      <c r="F151" s="74"/>
      <c r="G151" s="74"/>
      <c r="H151" s="74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</row>
    <row r="152" spans="1:20">
      <c r="B152" s="226" t="s">
        <v>76</v>
      </c>
      <c r="C152" s="223" t="s">
        <v>134</v>
      </c>
      <c r="D152" s="374"/>
      <c r="E152" s="368">
        <v>1080526.5999999999</v>
      </c>
      <c r="F152" s="446"/>
      <c r="G152" s="446"/>
      <c r="H152" s="446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</row>
    <row r="153" spans="1:20" ht="57.6" customHeight="1">
      <c r="A153" s="82"/>
      <c r="B153" s="226" t="s">
        <v>274</v>
      </c>
      <c r="C153" s="223" t="s">
        <v>135</v>
      </c>
      <c r="D153" s="441" t="s">
        <v>454</v>
      </c>
      <c r="E153" s="369">
        <v>6.6363636363636358</v>
      </c>
      <c r="F153" s="242"/>
      <c r="G153" s="241"/>
      <c r="H153" s="241"/>
      <c r="I153" s="241"/>
      <c r="J153" s="39"/>
      <c r="K153" s="39"/>
      <c r="L153" s="39"/>
      <c r="M153" s="39"/>
      <c r="N153" s="39"/>
      <c r="O153" s="39"/>
      <c r="P153" s="39"/>
      <c r="Q153" s="39"/>
      <c r="R153" s="39"/>
      <c r="S153" s="39"/>
    </row>
    <row r="154" spans="1:20" ht="49.9" customHeight="1">
      <c r="A154" s="82"/>
      <c r="B154" s="226" t="s">
        <v>275</v>
      </c>
      <c r="C154" s="223" t="s">
        <v>136</v>
      </c>
      <c r="D154" s="441" t="s">
        <v>455</v>
      </c>
      <c r="E154" s="369">
        <v>2.7126436781609193</v>
      </c>
      <c r="F154" s="241"/>
      <c r="G154" s="241"/>
      <c r="H154" s="241"/>
      <c r="I154" s="241"/>
      <c r="J154" s="39"/>
      <c r="K154" s="39"/>
      <c r="L154" s="39"/>
      <c r="M154" s="39"/>
      <c r="N154" s="39"/>
      <c r="O154" s="39"/>
      <c r="P154" s="39"/>
      <c r="Q154" s="39"/>
      <c r="R154" s="39"/>
      <c r="S154" s="39"/>
    </row>
    <row r="155" spans="1:20" ht="12" hidden="1" customHeight="1">
      <c r="A155" s="82"/>
      <c r="B155" s="226"/>
      <c r="C155" s="223"/>
      <c r="D155" s="243"/>
      <c r="E155" s="77">
        <v>2021</v>
      </c>
      <c r="F155" s="77">
        <f>E155+1</f>
        <v>2022</v>
      </c>
      <c r="G155" s="77">
        <f t="shared" ref="G155:T155" si="41">F155+1</f>
        <v>2023</v>
      </c>
      <c r="H155" s="77">
        <f t="shared" si="41"/>
        <v>2024</v>
      </c>
      <c r="I155" s="77">
        <f t="shared" si="41"/>
        <v>2025</v>
      </c>
      <c r="J155" s="77">
        <f t="shared" si="41"/>
        <v>2026</v>
      </c>
      <c r="K155" s="77">
        <f t="shared" si="41"/>
        <v>2027</v>
      </c>
      <c r="L155" s="77">
        <f t="shared" si="41"/>
        <v>2028</v>
      </c>
      <c r="M155" s="77">
        <f t="shared" si="41"/>
        <v>2029</v>
      </c>
      <c r="N155" s="77">
        <f t="shared" si="41"/>
        <v>2030</v>
      </c>
      <c r="O155" s="77">
        <f t="shared" si="41"/>
        <v>2031</v>
      </c>
      <c r="P155" s="77">
        <f t="shared" si="41"/>
        <v>2032</v>
      </c>
      <c r="Q155" s="77">
        <f t="shared" si="41"/>
        <v>2033</v>
      </c>
      <c r="R155" s="77">
        <f>Q155+1</f>
        <v>2034</v>
      </c>
      <c r="S155" s="77">
        <f t="shared" si="41"/>
        <v>2035</v>
      </c>
      <c r="T155" s="77">
        <f t="shared" si="41"/>
        <v>2036</v>
      </c>
    </row>
    <row r="156" spans="1:20" ht="11.45" hidden="1" customHeight="1">
      <c r="A156" s="82"/>
      <c r="B156" s="226" t="s">
        <v>396</v>
      </c>
      <c r="C156" s="223" t="s">
        <v>399</v>
      </c>
      <c r="D156" s="243" t="s">
        <v>400</v>
      </c>
      <c r="E156" s="117"/>
      <c r="F156" s="469"/>
      <c r="G156" s="469"/>
      <c r="H156" s="469"/>
      <c r="I156" s="117"/>
      <c r="J156" s="117"/>
      <c r="K156" s="117"/>
      <c r="L156" s="117"/>
      <c r="M156" s="117"/>
      <c r="N156" s="117"/>
      <c r="O156" s="117"/>
      <c r="P156" s="117"/>
      <c r="Q156" s="117"/>
      <c r="R156" s="117"/>
      <c r="S156" s="117"/>
      <c r="T156" s="117"/>
    </row>
    <row r="157" spans="1:20" ht="12" customHeight="1">
      <c r="A157" s="82"/>
      <c r="B157" s="226" t="s">
        <v>288</v>
      </c>
      <c r="C157" s="223" t="s">
        <v>66</v>
      </c>
      <c r="D157" s="374" t="s">
        <v>404</v>
      </c>
      <c r="E157" s="369">
        <f>(F193+F194+F195)/E152</f>
        <v>0.35958849713093599</v>
      </c>
      <c r="F157" s="371"/>
      <c r="G157" s="371"/>
      <c r="H157" s="371"/>
      <c r="I157" s="241"/>
      <c r="J157" s="39"/>
      <c r="K157" s="39"/>
      <c r="L157" s="39"/>
      <c r="M157" s="39"/>
      <c r="N157" s="39"/>
      <c r="O157" s="39"/>
      <c r="P157" s="39"/>
      <c r="Q157" s="39"/>
      <c r="R157" s="39"/>
      <c r="S157" s="39"/>
    </row>
    <row r="158" spans="1:20" ht="12" customHeight="1">
      <c r="A158" s="82"/>
      <c r="B158" s="226" t="s">
        <v>289</v>
      </c>
      <c r="C158" s="223" t="s">
        <v>66</v>
      </c>
      <c r="D158" s="374" t="s">
        <v>404</v>
      </c>
      <c r="E158" s="369">
        <f>(F196+F197)/E152</f>
        <v>0.38874432122263358</v>
      </c>
      <c r="F158" s="371"/>
      <c r="G158" s="371"/>
      <c r="H158" s="371"/>
      <c r="I158" s="241"/>
      <c r="J158" s="39"/>
      <c r="K158" s="39"/>
      <c r="L158" s="39"/>
      <c r="M158" s="39"/>
      <c r="N158" s="39"/>
      <c r="O158" s="39"/>
      <c r="P158" s="39"/>
      <c r="Q158" s="39"/>
      <c r="R158" s="39"/>
      <c r="S158" s="39"/>
    </row>
    <row r="159" spans="1:20">
      <c r="A159" s="82"/>
      <c r="B159" s="493"/>
      <c r="C159" s="494"/>
      <c r="D159" s="495"/>
      <c r="E159" s="373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</row>
    <row r="160" spans="1:20" ht="27" customHeight="1">
      <c r="A160" s="82"/>
      <c r="B160" s="364" t="s">
        <v>456</v>
      </c>
      <c r="C160" s="223" t="s">
        <v>88</v>
      </c>
      <c r="D160" s="365" t="s">
        <v>388</v>
      </c>
      <c r="E160" s="369">
        <v>0.7</v>
      </c>
      <c r="F160" s="241"/>
      <c r="G160" s="241"/>
      <c r="H160" s="241"/>
      <c r="I160" s="241"/>
      <c r="J160" s="39"/>
      <c r="K160" s="39"/>
      <c r="L160" s="39"/>
      <c r="M160" s="39"/>
      <c r="N160" s="39"/>
      <c r="O160" s="39"/>
      <c r="P160" s="39"/>
      <c r="Q160" s="39"/>
      <c r="R160" s="39"/>
      <c r="S160" s="39"/>
    </row>
    <row r="161" spans="1:19" ht="26.25" customHeight="1">
      <c r="A161" s="82"/>
      <c r="B161" s="364" t="s">
        <v>382</v>
      </c>
      <c r="C161" s="223"/>
      <c r="D161" s="365" t="s">
        <v>388</v>
      </c>
      <c r="E161" s="369">
        <v>0.85</v>
      </c>
      <c r="F161" s="241"/>
      <c r="G161" s="241"/>
      <c r="H161" s="241"/>
      <c r="I161" s="241"/>
      <c r="J161" s="39"/>
      <c r="K161" s="39"/>
      <c r="L161" s="39"/>
      <c r="M161" s="39"/>
      <c r="N161" s="39"/>
      <c r="O161" s="39"/>
      <c r="P161" s="39"/>
      <c r="Q161" s="39"/>
      <c r="R161" s="39"/>
      <c r="S161" s="39"/>
    </row>
    <row r="162" spans="1:19" ht="24">
      <c r="A162" s="82"/>
      <c r="B162" s="364" t="s">
        <v>372</v>
      </c>
      <c r="C162" s="223"/>
      <c r="D162" s="365" t="s">
        <v>300</v>
      </c>
      <c r="E162" s="30">
        <v>0.05</v>
      </c>
      <c r="F162" s="241"/>
      <c r="G162" s="241"/>
      <c r="H162" s="241"/>
      <c r="I162" s="241"/>
      <c r="J162" s="39"/>
      <c r="K162" s="39"/>
      <c r="L162" s="39"/>
      <c r="M162" s="39"/>
      <c r="N162" s="39"/>
      <c r="O162" s="39"/>
      <c r="P162" s="39"/>
      <c r="Q162" s="39"/>
      <c r="R162" s="39"/>
      <c r="S162" s="39"/>
    </row>
    <row r="163" spans="1:19" hidden="1">
      <c r="A163" s="82"/>
      <c r="B163" s="226"/>
      <c r="C163" s="223"/>
      <c r="D163" s="243" t="s">
        <v>388</v>
      </c>
      <c r="E163" s="370"/>
      <c r="F163" s="241"/>
      <c r="G163" s="241"/>
      <c r="H163" s="241"/>
      <c r="I163" s="241"/>
      <c r="J163" s="39"/>
      <c r="K163" s="39"/>
      <c r="L163" s="39"/>
      <c r="M163" s="39"/>
      <c r="N163" s="39"/>
      <c r="O163" s="39"/>
      <c r="P163" s="39"/>
      <c r="Q163" s="39"/>
      <c r="R163" s="39"/>
      <c r="S163" s="39"/>
    </row>
    <row r="164" spans="1:19" hidden="1">
      <c r="A164" s="82"/>
      <c r="B164" s="226"/>
      <c r="C164" s="223"/>
      <c r="D164" s="243" t="s">
        <v>388</v>
      </c>
      <c r="E164" s="370"/>
      <c r="F164" s="241"/>
      <c r="G164" s="241"/>
      <c r="H164" s="241"/>
      <c r="I164" s="241"/>
      <c r="J164" s="39"/>
      <c r="K164" s="39"/>
      <c r="L164" s="39"/>
      <c r="M164" s="39"/>
      <c r="N164" s="39"/>
      <c r="O164" s="39"/>
      <c r="P164" s="39"/>
      <c r="Q164" s="39"/>
      <c r="R164" s="39"/>
      <c r="S164" s="39"/>
    </row>
    <row r="165" spans="1:19" hidden="1">
      <c r="A165" s="82"/>
      <c r="B165" s="226"/>
      <c r="C165" s="223"/>
      <c r="D165" s="243" t="s">
        <v>388</v>
      </c>
      <c r="E165" s="369"/>
      <c r="F165" s="241"/>
      <c r="G165" s="241"/>
      <c r="H165" s="241"/>
      <c r="I165" s="241"/>
      <c r="J165" s="39"/>
      <c r="K165" s="39"/>
      <c r="L165" s="39"/>
      <c r="M165" s="39"/>
      <c r="N165" s="39"/>
      <c r="O165" s="39"/>
      <c r="P165" s="39"/>
      <c r="Q165" s="39"/>
      <c r="R165" s="39"/>
      <c r="S165" s="39"/>
    </row>
    <row r="166" spans="1:19" ht="12" customHeight="1">
      <c r="A166" s="82"/>
      <c r="B166" s="226" t="s">
        <v>410</v>
      </c>
      <c r="C166" s="223" t="s">
        <v>28</v>
      </c>
      <c r="D166" s="243" t="s">
        <v>388</v>
      </c>
      <c r="E166" s="369">
        <f>H129</f>
        <v>0.87</v>
      </c>
      <c r="F166" s="241"/>
      <c r="G166" s="241"/>
      <c r="H166" s="241"/>
      <c r="I166" s="241"/>
      <c r="J166" s="39"/>
      <c r="K166" s="39"/>
      <c r="L166" s="39"/>
      <c r="M166" s="39"/>
      <c r="N166" s="39"/>
      <c r="O166" s="39"/>
      <c r="P166" s="39"/>
      <c r="Q166" s="39"/>
      <c r="R166" s="39"/>
      <c r="S166" s="39"/>
    </row>
    <row r="167" spans="1:19" hidden="1">
      <c r="A167" s="82"/>
      <c r="B167" s="226" t="s">
        <v>409</v>
      </c>
      <c r="C167" s="223" t="s">
        <v>28</v>
      </c>
      <c r="D167" s="243" t="s">
        <v>395</v>
      </c>
      <c r="E167" s="369"/>
      <c r="F167" s="241"/>
      <c r="G167" s="241"/>
      <c r="H167" s="241"/>
      <c r="I167" s="241"/>
      <c r="J167" s="39"/>
      <c r="K167" s="39"/>
      <c r="L167" s="39"/>
      <c r="M167" s="39"/>
      <c r="N167" s="39"/>
      <c r="O167" s="39"/>
      <c r="P167" s="39"/>
      <c r="Q167" s="39"/>
      <c r="R167" s="39"/>
      <c r="S167" s="39"/>
    </row>
    <row r="168" spans="1:19" hidden="1">
      <c r="A168" s="82"/>
      <c r="B168" s="226" t="s">
        <v>401</v>
      </c>
      <c r="C168" s="223" t="s">
        <v>397</v>
      </c>
      <c r="D168" s="243" t="s">
        <v>398</v>
      </c>
      <c r="E168" s="117"/>
      <c r="F168" s="241"/>
      <c r="G168" s="241"/>
      <c r="H168" s="241"/>
      <c r="I168" s="241"/>
      <c r="J168" s="39"/>
      <c r="K168" s="39"/>
      <c r="L168" s="39"/>
      <c r="M168" s="39"/>
      <c r="N168" s="39"/>
      <c r="O168" s="39"/>
      <c r="P168" s="39"/>
      <c r="Q168" s="39"/>
      <c r="R168" s="39"/>
      <c r="S168" s="39"/>
    </row>
    <row r="169" spans="1:19" ht="38.450000000000003" customHeight="1">
      <c r="A169" s="82"/>
      <c r="B169" s="364" t="s">
        <v>429</v>
      </c>
      <c r="C169" s="223" t="s">
        <v>137</v>
      </c>
      <c r="D169" s="365" t="s">
        <v>457</v>
      </c>
      <c r="E169" s="113">
        <f>150*4*250</f>
        <v>150000</v>
      </c>
      <c r="F169" s="241"/>
      <c r="G169" s="241"/>
      <c r="H169" s="241"/>
      <c r="I169" s="241"/>
      <c r="J169" s="39"/>
      <c r="K169" s="39"/>
      <c r="L169" s="39"/>
      <c r="M169" s="39"/>
      <c r="N169" s="39"/>
      <c r="O169" s="39"/>
      <c r="P169" s="39"/>
      <c r="Q169" s="39"/>
      <c r="R169" s="39"/>
      <c r="S169" s="39"/>
    </row>
    <row r="170" spans="1:19">
      <c r="A170" s="82"/>
      <c r="B170" s="493"/>
      <c r="C170" s="494"/>
      <c r="D170" s="495"/>
      <c r="E170" s="371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</row>
    <row r="171" spans="1:19" ht="24">
      <c r="A171" s="82"/>
      <c r="B171" s="226" t="s">
        <v>341</v>
      </c>
      <c r="C171" s="223" t="s">
        <v>1</v>
      </c>
      <c r="D171" s="365" t="s">
        <v>265</v>
      </c>
      <c r="E171" s="30">
        <v>2.5000000000000001E-2</v>
      </c>
      <c r="F171" s="375">
        <f>1/E171</f>
        <v>40</v>
      </c>
      <c r="G171" s="376" t="s">
        <v>58</v>
      </c>
      <c r="H171" s="160"/>
      <c r="I171" s="160"/>
      <c r="J171" s="160"/>
      <c r="K171" s="39"/>
      <c r="L171" s="39"/>
      <c r="M171" s="39"/>
      <c r="N171" s="39"/>
      <c r="O171" s="39"/>
      <c r="P171" s="39"/>
      <c r="Q171" s="39"/>
      <c r="R171" s="39"/>
      <c r="S171" s="39"/>
    </row>
    <row r="172" spans="1:19" ht="24">
      <c r="A172" s="82"/>
      <c r="B172" s="226" t="s">
        <v>342</v>
      </c>
      <c r="C172" s="223" t="s">
        <v>1</v>
      </c>
      <c r="D172" s="365" t="s">
        <v>265</v>
      </c>
      <c r="E172" s="30">
        <f>1/F172</f>
        <v>6.6666666666666666E-2</v>
      </c>
      <c r="F172" s="375">
        <v>15</v>
      </c>
      <c r="G172" s="376" t="s">
        <v>58</v>
      </c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</row>
    <row r="173" spans="1:19" ht="24">
      <c r="A173" s="82"/>
      <c r="B173" s="226" t="s">
        <v>368</v>
      </c>
      <c r="C173" s="223" t="s">
        <v>1</v>
      </c>
      <c r="D173" s="365" t="s">
        <v>265</v>
      </c>
      <c r="E173" s="30">
        <f>1/F173</f>
        <v>7.6923076923076927E-2</v>
      </c>
      <c r="F173" s="375">
        <v>13</v>
      </c>
      <c r="G173" s="376" t="s">
        <v>58</v>
      </c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</row>
    <row r="174" spans="1:19" ht="24">
      <c r="A174" s="82"/>
      <c r="B174" s="226" t="s">
        <v>157</v>
      </c>
      <c r="C174" s="223" t="s">
        <v>1</v>
      </c>
      <c r="D174" s="365" t="s">
        <v>265</v>
      </c>
      <c r="E174" s="30">
        <v>6.6666666666666666E-2</v>
      </c>
      <c r="F174" s="375">
        <f>1/E174</f>
        <v>15</v>
      </c>
      <c r="G174" s="376" t="s">
        <v>58</v>
      </c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</row>
    <row r="175" spans="1:19" ht="18" customHeight="1">
      <c r="B175" s="226" t="s">
        <v>257</v>
      </c>
      <c r="C175" s="223" t="s">
        <v>27</v>
      </c>
      <c r="D175" s="374" t="s">
        <v>375</v>
      </c>
      <c r="E175" s="30"/>
      <c r="F175" s="375">
        <v>8</v>
      </c>
      <c r="G175" s="376" t="s">
        <v>58</v>
      </c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1:19" ht="13.5" customHeight="1" thickBot="1">
      <c r="B176" s="493"/>
      <c r="C176" s="494"/>
      <c r="D176" s="495"/>
      <c r="E176" s="372"/>
      <c r="F176" s="289"/>
      <c r="G176" s="29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1:151">
      <c r="B177" s="416" t="s">
        <v>424</v>
      </c>
      <c r="C177" s="417" t="s">
        <v>45</v>
      </c>
      <c r="D177" s="418" t="s">
        <v>302</v>
      </c>
      <c r="E177" s="419">
        <v>300000</v>
      </c>
      <c r="F177" s="289"/>
      <c r="G177" s="29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1:151" ht="12.75" thickBot="1">
      <c r="B178" s="420" t="s">
        <v>425</v>
      </c>
      <c r="C178" s="223" t="s">
        <v>45</v>
      </c>
      <c r="D178" s="365" t="s">
        <v>302</v>
      </c>
      <c r="E178" s="421">
        <v>530000</v>
      </c>
      <c r="F178" s="289"/>
      <c r="G178" s="29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1:151">
      <c r="B179" s="416" t="s">
        <v>427</v>
      </c>
      <c r="C179" s="417" t="s">
        <v>45</v>
      </c>
      <c r="D179" s="418" t="s">
        <v>302</v>
      </c>
      <c r="E179" s="419">
        <v>700000</v>
      </c>
      <c r="F179" s="289"/>
      <c r="G179" s="29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1:151" ht="12.75" thickBot="1">
      <c r="B180" s="420" t="s">
        <v>426</v>
      </c>
      <c r="C180" s="223" t="s">
        <v>45</v>
      </c>
      <c r="D180" s="365" t="s">
        <v>302</v>
      </c>
      <c r="E180" s="421">
        <v>1380000</v>
      </c>
      <c r="F180" s="289"/>
      <c r="G180" s="29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1:151" ht="12.75" thickBot="1">
      <c r="B181" s="416" t="s">
        <v>428</v>
      </c>
      <c r="C181" s="417" t="s">
        <v>45</v>
      </c>
      <c r="D181" s="418" t="s">
        <v>302</v>
      </c>
      <c r="E181" s="419">
        <v>2570000</v>
      </c>
      <c r="F181" s="289"/>
      <c r="G181" s="29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1:151">
      <c r="B182" s="416" t="s">
        <v>292</v>
      </c>
      <c r="C182" s="417" t="s">
        <v>337</v>
      </c>
      <c r="D182" s="418" t="s">
        <v>302</v>
      </c>
      <c r="E182" s="424">
        <v>2500</v>
      </c>
      <c r="F182" s="289"/>
      <c r="G182" s="29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1:151" ht="12.75" thickBot="1">
      <c r="B183" s="422" t="s">
        <v>338</v>
      </c>
      <c r="C183" s="333" t="s">
        <v>337</v>
      </c>
      <c r="D183" s="423" t="s">
        <v>302</v>
      </c>
      <c r="E183" s="425">
        <v>7000</v>
      </c>
      <c r="F183" s="289"/>
      <c r="G183" s="502" t="s">
        <v>464</v>
      </c>
      <c r="H183" s="503">
        <v>2</v>
      </c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1:151" ht="15.75" customHeight="1">
      <c r="B184" s="12"/>
      <c r="C184" s="12"/>
      <c r="D184" s="12"/>
      <c r="E184" s="13"/>
      <c r="F184" s="13"/>
      <c r="G184" s="13"/>
      <c r="H184" s="31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AI184" s="14"/>
      <c r="AQ184" s="4"/>
      <c r="AR184" s="4"/>
      <c r="AS184" s="4"/>
      <c r="AT184" s="4"/>
      <c r="AU184" s="4"/>
      <c r="AV184" s="4"/>
      <c r="AW184" s="4"/>
    </row>
    <row r="185" spans="1:151" s="15" customFormat="1">
      <c r="A185" s="227" t="s">
        <v>22</v>
      </c>
      <c r="B185" s="81" t="s">
        <v>406</v>
      </c>
      <c r="C185" s="366"/>
      <c r="D185" s="366"/>
      <c r="E185" s="366"/>
      <c r="F185" s="81"/>
      <c r="G185" s="81"/>
      <c r="H185" s="81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</row>
    <row r="186" spans="1:151" ht="14.25">
      <c r="A186" s="229"/>
      <c r="B186" s="229"/>
      <c r="C186" s="367"/>
      <c r="D186" s="367"/>
      <c r="E186" s="519"/>
      <c r="F186" s="519"/>
      <c r="G186" s="519"/>
      <c r="H186" s="378"/>
      <c r="I186" s="378"/>
      <c r="J186" s="9"/>
      <c r="K186" s="9"/>
      <c r="L186" s="9"/>
      <c r="M186" s="9"/>
      <c r="N186" s="9"/>
      <c r="O186" s="9"/>
      <c r="P186" s="9"/>
      <c r="Q186" s="9"/>
      <c r="R186" s="9"/>
      <c r="S186" s="9"/>
    </row>
    <row r="187" spans="1:151">
      <c r="B187" s="78" t="s">
        <v>5</v>
      </c>
      <c r="C187" s="379"/>
      <c r="D187" s="379"/>
      <c r="E187" s="380">
        <v>2023</v>
      </c>
      <c r="F187" s="380">
        <v>2024</v>
      </c>
      <c r="G187" s="380">
        <v>2025</v>
      </c>
      <c r="J187" s="520"/>
      <c r="K187" s="520"/>
      <c r="L187" s="443"/>
      <c r="M187" s="443"/>
      <c r="N187" s="432"/>
      <c r="O187" s="74"/>
      <c r="P187" s="74"/>
      <c r="Q187" s="74"/>
      <c r="R187" s="74"/>
      <c r="S187" s="74"/>
    </row>
    <row r="188" spans="1:151" ht="12" customHeight="1" outlineLevel="1">
      <c r="B188" s="171" t="s">
        <v>9</v>
      </c>
      <c r="C188" s="223" t="s">
        <v>164</v>
      </c>
      <c r="D188" s="521" t="s">
        <v>444</v>
      </c>
      <c r="E188" s="170">
        <v>1983361.6847999999</v>
      </c>
      <c r="F188" s="170">
        <f>E188*(1+$F$203)</f>
        <v>2074596.3223008001</v>
      </c>
      <c r="G188" s="170">
        <f>F188</f>
        <v>2074596.3223008001</v>
      </c>
      <c r="J188" s="385"/>
      <c r="K188" s="445"/>
      <c r="L188" s="9"/>
      <c r="M188" s="445"/>
      <c r="N188" s="172"/>
      <c r="O188" s="16"/>
      <c r="P188" s="16"/>
      <c r="Q188" s="16"/>
      <c r="R188" s="16"/>
      <c r="S188" s="16"/>
    </row>
    <row r="189" spans="1:151" outlineLevel="2">
      <c r="A189" s="82"/>
      <c r="B189" s="171" t="s">
        <v>318</v>
      </c>
      <c r="C189" s="223" t="s">
        <v>164</v>
      </c>
      <c r="D189" s="522"/>
      <c r="E189" s="170">
        <v>495840.42119999998</v>
      </c>
      <c r="F189" s="170">
        <f>E189*(1+$F$203)</f>
        <v>518649.08057520003</v>
      </c>
      <c r="G189" s="170">
        <f t="shared" ref="G189:G201" si="42">F189</f>
        <v>518649.08057520003</v>
      </c>
      <c r="J189" s="385"/>
      <c r="K189" s="445"/>
      <c r="L189" s="9"/>
      <c r="M189" s="445"/>
      <c r="N189" s="172"/>
      <c r="O189" s="75"/>
      <c r="P189" s="75"/>
      <c r="Q189" s="75"/>
      <c r="R189" s="75"/>
      <c r="S189" s="75"/>
    </row>
    <row r="190" spans="1:151" outlineLevel="2">
      <c r="A190" s="82"/>
      <c r="B190" s="171" t="s">
        <v>205</v>
      </c>
      <c r="C190" s="223" t="s">
        <v>164</v>
      </c>
      <c r="D190" s="522"/>
      <c r="E190" s="170">
        <v>1054137.21</v>
      </c>
      <c r="F190" s="170">
        <f>E190</f>
        <v>1054137.21</v>
      </c>
      <c r="G190" s="170">
        <f t="shared" si="42"/>
        <v>1054137.21</v>
      </c>
      <c r="J190" s="385"/>
      <c r="K190" s="445"/>
      <c r="L190" s="9"/>
      <c r="M190" s="445"/>
      <c r="N190" s="172"/>
      <c r="O190" s="75"/>
      <c r="P190" s="75"/>
      <c r="Q190" s="75"/>
      <c r="R190" s="75"/>
      <c r="S190" s="75"/>
    </row>
    <row r="191" spans="1:151" outlineLevel="2">
      <c r="A191" s="82"/>
      <c r="B191" s="171" t="s">
        <v>207</v>
      </c>
      <c r="C191" s="223" t="s">
        <v>164</v>
      </c>
      <c r="D191" s="522"/>
      <c r="E191" s="170">
        <v>103391.64</v>
      </c>
      <c r="F191" s="170">
        <f t="shared" ref="F191:F201" si="43">E191*(1+$F$203)</f>
        <v>108147.65544</v>
      </c>
      <c r="G191" s="170">
        <f t="shared" si="42"/>
        <v>108147.65544</v>
      </c>
      <c r="J191" s="385"/>
      <c r="K191" s="445"/>
      <c r="L191" s="9"/>
      <c r="M191" s="445"/>
      <c r="N191" s="172"/>
      <c r="O191" s="75"/>
      <c r="P191" s="75"/>
      <c r="Q191" s="75"/>
      <c r="R191" s="75"/>
      <c r="S191" s="75"/>
    </row>
    <row r="192" spans="1:151" outlineLevel="2">
      <c r="A192" s="82"/>
      <c r="B192" s="171" t="s">
        <v>206</v>
      </c>
      <c r="C192" s="223" t="s">
        <v>164</v>
      </c>
      <c r="D192" s="522"/>
      <c r="E192" s="170">
        <v>1522260.2879999997</v>
      </c>
      <c r="F192" s="170">
        <f t="shared" si="43"/>
        <v>1592284.2612479997</v>
      </c>
      <c r="G192" s="170">
        <f t="shared" si="42"/>
        <v>1592284.2612479997</v>
      </c>
      <c r="J192" s="385"/>
      <c r="K192" s="445"/>
      <c r="L192" s="9"/>
      <c r="M192" s="445"/>
      <c r="N192" s="172"/>
      <c r="O192" s="75"/>
      <c r="P192" s="75"/>
      <c r="Q192" s="75"/>
      <c r="R192" s="75"/>
      <c r="S192" s="75"/>
    </row>
    <row r="193" spans="1:151" s="11" customFormat="1" outlineLevel="1">
      <c r="A193" s="37"/>
      <c r="B193" s="171" t="s">
        <v>208</v>
      </c>
      <c r="C193" s="223" t="s">
        <v>164</v>
      </c>
      <c r="D193" s="522"/>
      <c r="E193" s="170">
        <v>0</v>
      </c>
      <c r="F193" s="170">
        <f t="shared" si="43"/>
        <v>0</v>
      </c>
      <c r="G193" s="170">
        <f t="shared" si="42"/>
        <v>0</v>
      </c>
      <c r="J193" s="385"/>
      <c r="K193" s="445"/>
      <c r="L193" s="9"/>
      <c r="M193" s="445"/>
      <c r="N193" s="172"/>
      <c r="O193" s="16"/>
      <c r="P193" s="16"/>
      <c r="Q193" s="16"/>
      <c r="R193" s="16"/>
      <c r="S193" s="16"/>
    </row>
    <row r="194" spans="1:151" s="11" customFormat="1" outlineLevel="1">
      <c r="A194" s="37"/>
      <c r="B194" s="171" t="s">
        <v>209</v>
      </c>
      <c r="C194" s="223" t="s">
        <v>164</v>
      </c>
      <c r="D194" s="522"/>
      <c r="E194" s="170">
        <v>371457.87399999995</v>
      </c>
      <c r="F194" s="170">
        <f t="shared" si="43"/>
        <v>388544.93620399997</v>
      </c>
      <c r="G194" s="170">
        <f t="shared" si="42"/>
        <v>388544.93620399997</v>
      </c>
      <c r="J194" s="385"/>
      <c r="K194" s="445"/>
      <c r="L194" s="9"/>
      <c r="M194" s="445"/>
      <c r="N194" s="172"/>
      <c r="O194" s="16"/>
      <c r="P194" s="16"/>
      <c r="Q194" s="16"/>
      <c r="R194" s="16"/>
      <c r="S194" s="16"/>
    </row>
    <row r="195" spans="1:151" outlineLevel="1">
      <c r="A195" s="82"/>
      <c r="B195" s="171" t="s">
        <v>319</v>
      </c>
      <c r="C195" s="223" t="s">
        <v>164</v>
      </c>
      <c r="D195" s="522"/>
      <c r="E195" s="170">
        <v>0</v>
      </c>
      <c r="F195" s="170">
        <f t="shared" si="43"/>
        <v>0</v>
      </c>
      <c r="G195" s="170">
        <f t="shared" si="42"/>
        <v>0</v>
      </c>
      <c r="J195" s="385"/>
      <c r="K195" s="445"/>
      <c r="L195" s="9"/>
      <c r="M195" s="445"/>
      <c r="N195" s="172"/>
      <c r="O195" s="17"/>
      <c r="P195" s="17"/>
      <c r="Q195" s="17"/>
      <c r="R195" s="17"/>
      <c r="S195" s="17"/>
    </row>
    <row r="196" spans="1:151" outlineLevel="1">
      <c r="A196" s="82"/>
      <c r="B196" s="171" t="s">
        <v>379</v>
      </c>
      <c r="C196" s="223" t="s">
        <v>164</v>
      </c>
      <c r="D196" s="522"/>
      <c r="E196" s="170">
        <v>0</v>
      </c>
      <c r="F196" s="170">
        <f t="shared" si="43"/>
        <v>0</v>
      </c>
      <c r="G196" s="170">
        <f t="shared" si="42"/>
        <v>0</v>
      </c>
      <c r="J196" s="385"/>
      <c r="K196" s="445"/>
      <c r="L196" s="9"/>
      <c r="M196" s="445"/>
      <c r="N196" s="172"/>
      <c r="O196" s="17"/>
      <c r="P196" s="17"/>
      <c r="Q196" s="17"/>
      <c r="R196" s="17"/>
      <c r="S196" s="17"/>
    </row>
    <row r="197" spans="1:151" outlineLevel="1">
      <c r="A197" s="82"/>
      <c r="B197" s="171" t="s">
        <v>6</v>
      </c>
      <c r="C197" s="223" t="s">
        <v>164</v>
      </c>
      <c r="D197" s="522"/>
      <c r="E197" s="170">
        <v>401576.08</v>
      </c>
      <c r="F197" s="170">
        <f t="shared" si="43"/>
        <v>420048.57968000002</v>
      </c>
      <c r="G197" s="170">
        <f t="shared" si="42"/>
        <v>420048.57968000002</v>
      </c>
      <c r="J197" s="385"/>
      <c r="K197" s="445"/>
      <c r="L197" s="9"/>
      <c r="M197" s="445"/>
      <c r="N197" s="172"/>
      <c r="O197" s="17"/>
      <c r="P197" s="17"/>
      <c r="Q197" s="17"/>
      <c r="R197" s="17"/>
      <c r="S197" s="17"/>
    </row>
    <row r="198" spans="1:151" outlineLevel="1">
      <c r="A198" s="82"/>
      <c r="B198" s="171" t="s">
        <v>7</v>
      </c>
      <c r="C198" s="223" t="s">
        <v>164</v>
      </c>
      <c r="D198" s="522"/>
      <c r="E198" s="170">
        <v>50197.01</v>
      </c>
      <c r="F198" s="170">
        <f t="shared" si="43"/>
        <v>52506.072460000003</v>
      </c>
      <c r="G198" s="170">
        <f t="shared" si="42"/>
        <v>52506.072460000003</v>
      </c>
      <c r="J198" s="385"/>
      <c r="K198" s="445"/>
      <c r="L198" s="9"/>
      <c r="M198" s="445"/>
      <c r="N198" s="172"/>
      <c r="O198" s="17"/>
      <c r="P198" s="17"/>
      <c r="Q198" s="17"/>
      <c r="R198" s="17"/>
      <c r="S198" s="17"/>
    </row>
    <row r="199" spans="1:151" outlineLevel="1">
      <c r="A199" s="82"/>
      <c r="B199" s="171" t="s">
        <v>210</v>
      </c>
      <c r="C199" s="223" t="s">
        <v>164</v>
      </c>
      <c r="D199" s="522"/>
      <c r="E199" s="170">
        <v>0</v>
      </c>
      <c r="F199" s="170">
        <f t="shared" si="43"/>
        <v>0</v>
      </c>
      <c r="G199" s="170">
        <f t="shared" si="42"/>
        <v>0</v>
      </c>
      <c r="J199" s="385"/>
      <c r="K199" s="445"/>
      <c r="L199" s="9"/>
      <c r="M199" s="445"/>
      <c r="N199" s="172"/>
      <c r="O199" s="17"/>
      <c r="P199" s="17"/>
      <c r="Q199" s="17"/>
      <c r="R199" s="17"/>
      <c r="S199" s="17"/>
    </row>
    <row r="200" spans="1:151" s="11" customFormat="1" outlineLevel="1">
      <c r="A200" s="37"/>
      <c r="B200" s="171" t="s">
        <v>320</v>
      </c>
      <c r="C200" s="223" t="s">
        <v>164</v>
      </c>
      <c r="D200" s="522"/>
      <c r="E200" s="170">
        <v>860176.10999999987</v>
      </c>
      <c r="F200" s="170">
        <f t="shared" si="43"/>
        <v>899744.21105999989</v>
      </c>
      <c r="G200" s="170">
        <f t="shared" si="42"/>
        <v>899744.21105999989</v>
      </c>
      <c r="J200" s="385"/>
      <c r="K200" s="445"/>
      <c r="L200" s="9"/>
      <c r="M200" s="445"/>
      <c r="N200" s="172"/>
      <c r="O200" s="16"/>
      <c r="P200" s="16"/>
      <c r="Q200" s="16"/>
      <c r="R200" s="16"/>
      <c r="S200" s="16"/>
    </row>
    <row r="201" spans="1:151" s="11" customFormat="1" outlineLevel="1">
      <c r="A201" s="37"/>
      <c r="B201" s="381" t="s">
        <v>380</v>
      </c>
      <c r="C201" s="223" t="s">
        <v>164</v>
      </c>
      <c r="D201" s="523"/>
      <c r="E201" s="170">
        <v>922460.60399999993</v>
      </c>
      <c r="F201" s="170">
        <f t="shared" si="43"/>
        <v>964893.791784</v>
      </c>
      <c r="G201" s="170">
        <f t="shared" si="42"/>
        <v>964893.791784</v>
      </c>
      <c r="J201" s="385"/>
      <c r="K201" s="445"/>
      <c r="L201" s="9"/>
      <c r="M201" s="445"/>
      <c r="N201" s="172"/>
      <c r="O201" s="16"/>
      <c r="P201" s="16"/>
      <c r="Q201" s="16"/>
      <c r="R201" s="16"/>
      <c r="S201" s="16"/>
    </row>
    <row r="202" spans="1:151">
      <c r="B202" s="382" t="s">
        <v>10</v>
      </c>
      <c r="C202" s="383"/>
      <c r="D202" s="374" t="s">
        <v>14</v>
      </c>
      <c r="E202" s="454">
        <f>SUM(E188:E201)</f>
        <v>7764858.9219999984</v>
      </c>
      <c r="F202" s="454">
        <f>SUM(F188:F201)</f>
        <v>8073552.1207520002</v>
      </c>
      <c r="G202" s="454">
        <f>SUM(G188:G201)</f>
        <v>8073552.1207520002</v>
      </c>
      <c r="J202" s="16"/>
      <c r="K202" s="431"/>
      <c r="L202" s="16"/>
      <c r="M202" s="431"/>
      <c r="N202" s="431"/>
      <c r="O202" s="18"/>
      <c r="P202" s="18"/>
      <c r="Q202" s="18"/>
      <c r="R202" s="18"/>
      <c r="S202" s="18"/>
    </row>
    <row r="203" spans="1:151">
      <c r="B203" s="241"/>
      <c r="C203" s="241"/>
      <c r="D203" s="328"/>
      <c r="E203" s="16"/>
      <c r="F203" s="467">
        <v>4.5999999999999999E-2</v>
      </c>
      <c r="G203" s="468" t="s">
        <v>436</v>
      </c>
      <c r="J203" s="447"/>
      <c r="K203" s="18"/>
      <c r="L203" s="18"/>
      <c r="M203" s="18"/>
      <c r="N203" s="18"/>
      <c r="O203" s="18"/>
      <c r="P203" s="18"/>
      <c r="Q203" s="18"/>
      <c r="R203" s="18"/>
      <c r="S203" s="18"/>
    </row>
    <row r="204" spans="1:151">
      <c r="B204" s="34"/>
      <c r="C204" s="34"/>
      <c r="D204" s="34"/>
      <c r="E204" s="442"/>
      <c r="F204" s="442"/>
      <c r="G204" s="442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</row>
    <row r="205" spans="1:151" s="15" customFormat="1">
      <c r="A205" s="227" t="s">
        <v>23</v>
      </c>
      <c r="B205" s="81" t="s">
        <v>196</v>
      </c>
      <c r="C205" s="81"/>
      <c r="D205" s="81"/>
      <c r="E205" s="81"/>
      <c r="F205" s="81"/>
      <c r="G205" s="81"/>
      <c r="H205" s="81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</row>
    <row r="206" spans="1:151">
      <c r="A206" s="229"/>
      <c r="B206" s="229"/>
      <c r="C206" s="229"/>
      <c r="D206" s="229"/>
      <c r="E206" s="229"/>
      <c r="F206" s="229"/>
      <c r="H206" s="9"/>
      <c r="I206" s="9"/>
      <c r="J206" s="9"/>
      <c r="K206" s="9"/>
      <c r="L206" s="79"/>
      <c r="M206" s="35"/>
      <c r="N206" s="9"/>
      <c r="O206" s="9"/>
      <c r="P206" s="9"/>
      <c r="Q206" s="9"/>
      <c r="R206" s="9"/>
      <c r="S206" s="9"/>
    </row>
    <row r="207" spans="1:151">
      <c r="B207" s="78" t="s">
        <v>5</v>
      </c>
      <c r="C207" s="111"/>
      <c r="D207" s="111"/>
      <c r="E207" s="524">
        <f>F187</f>
        <v>2024</v>
      </c>
      <c r="F207" s="525"/>
      <c r="G207" s="74"/>
      <c r="H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</row>
    <row r="208" spans="1:151" ht="21.75" customHeight="1" outlineLevel="1">
      <c r="B208" s="110"/>
      <c r="C208" s="120"/>
      <c r="D208" s="448"/>
      <c r="E208" s="449" t="s">
        <v>442</v>
      </c>
      <c r="F208" s="449" t="s">
        <v>443</v>
      </c>
      <c r="G208" s="437"/>
      <c r="H208" s="437"/>
      <c r="J208" s="16"/>
      <c r="K208" s="16"/>
      <c r="L208" s="16"/>
      <c r="M208" s="16"/>
      <c r="N208" s="16"/>
      <c r="O208" s="16"/>
      <c r="P208" s="16"/>
      <c r="Q208" s="16"/>
      <c r="R208" s="16"/>
      <c r="S208" s="16"/>
    </row>
    <row r="209" spans="1:20" outlineLevel="1">
      <c r="B209" s="110" t="s">
        <v>381</v>
      </c>
      <c r="C209" s="121" t="s">
        <v>164</v>
      </c>
      <c r="D209" s="448" t="s">
        <v>411</v>
      </c>
      <c r="E209" s="20">
        <v>3752.7336</v>
      </c>
      <c r="F209" s="20">
        <v>5629.1004000000003</v>
      </c>
      <c r="G209" s="20">
        <v>1092.5231588235295</v>
      </c>
      <c r="H209" s="17"/>
      <c r="J209" s="17"/>
      <c r="K209" s="17"/>
      <c r="L209" s="17"/>
      <c r="M209" s="16"/>
      <c r="N209" s="17"/>
      <c r="O209" s="17"/>
      <c r="P209" s="17"/>
      <c r="Q209" s="17"/>
      <c r="R209" s="17"/>
      <c r="S209" s="17"/>
    </row>
    <row r="210" spans="1:20">
      <c r="B210" s="34"/>
      <c r="C210" s="34"/>
      <c r="D210" s="34"/>
      <c r="E210" s="18"/>
      <c r="F210" s="18"/>
      <c r="G210" s="18"/>
      <c r="J210" s="80"/>
      <c r="K210" s="80"/>
      <c r="L210" s="80"/>
      <c r="M210" s="80"/>
      <c r="O210" s="18"/>
      <c r="P210" s="18"/>
      <c r="Q210" s="18"/>
      <c r="R210" s="18"/>
      <c r="S210" s="18"/>
    </row>
    <row r="211" spans="1:20">
      <c r="A211" s="227" t="s">
        <v>254</v>
      </c>
      <c r="B211" s="81" t="s">
        <v>277</v>
      </c>
      <c r="C211" s="81"/>
      <c r="D211" s="81"/>
      <c r="E211" s="151"/>
      <c r="F211" s="151"/>
      <c r="H211" s="145"/>
      <c r="I211" s="145"/>
      <c r="J211" s="145"/>
      <c r="K211" s="145"/>
      <c r="L211" s="143"/>
      <c r="M211" s="143"/>
      <c r="N211" s="143"/>
    </row>
    <row r="212" spans="1:20">
      <c r="B212" s="149"/>
      <c r="C212" s="150"/>
      <c r="D212" s="219">
        <f>E7</f>
        <v>2024</v>
      </c>
      <c r="E212" s="220">
        <f>D212+1</f>
        <v>2025</v>
      </c>
      <c r="F212" s="220">
        <f t="shared" ref="F212:S212" si="44">E212+1</f>
        <v>2026</v>
      </c>
      <c r="G212" s="220">
        <f t="shared" si="44"/>
        <v>2027</v>
      </c>
      <c r="H212" s="220">
        <f t="shared" si="44"/>
        <v>2028</v>
      </c>
      <c r="I212" s="220">
        <f t="shared" si="44"/>
        <v>2029</v>
      </c>
      <c r="J212" s="220">
        <f t="shared" si="44"/>
        <v>2030</v>
      </c>
      <c r="K212" s="220">
        <f t="shared" si="44"/>
        <v>2031</v>
      </c>
      <c r="L212" s="220">
        <f t="shared" si="44"/>
        <v>2032</v>
      </c>
      <c r="M212" s="220">
        <f t="shared" si="44"/>
        <v>2033</v>
      </c>
      <c r="N212" s="220">
        <f t="shared" si="44"/>
        <v>2034</v>
      </c>
      <c r="O212" s="220">
        <f t="shared" si="44"/>
        <v>2035</v>
      </c>
      <c r="P212" s="220">
        <f t="shared" si="44"/>
        <v>2036</v>
      </c>
      <c r="Q212" s="220">
        <f t="shared" si="44"/>
        <v>2037</v>
      </c>
      <c r="R212" s="220">
        <f t="shared" si="44"/>
        <v>2038</v>
      </c>
      <c r="S212" s="220">
        <f t="shared" si="44"/>
        <v>2039</v>
      </c>
      <c r="T212" s="126"/>
    </row>
    <row r="213" spans="1:20" ht="12.75">
      <c r="B213" s="176" t="s">
        <v>276</v>
      </c>
      <c r="C213" s="175" t="s">
        <v>119</v>
      </c>
      <c r="D213" s="70">
        <v>1033940.2</v>
      </c>
      <c r="E213" s="70">
        <v>1023458.3</v>
      </c>
      <c r="F213" s="70">
        <v>1023458.3</v>
      </c>
      <c r="G213" s="70">
        <v>1023458.3</v>
      </c>
      <c r="H213" s="70">
        <v>1023458.3</v>
      </c>
      <c r="I213" s="70">
        <v>1023458.3</v>
      </c>
      <c r="J213" s="70">
        <v>1023458.3</v>
      </c>
      <c r="K213" s="70">
        <v>1023458.3</v>
      </c>
      <c r="L213" s="70">
        <v>1023458.3</v>
      </c>
      <c r="M213" s="70">
        <v>1023458.3</v>
      </c>
      <c r="N213" s="70">
        <v>1023458.3</v>
      </c>
      <c r="O213" s="70">
        <v>1023458.3</v>
      </c>
      <c r="P213" s="70">
        <v>1023458.3</v>
      </c>
      <c r="Q213" s="70">
        <v>1023458.3</v>
      </c>
      <c r="R213" s="70">
        <v>1023458.3</v>
      </c>
      <c r="S213" s="70">
        <v>1023458.3</v>
      </c>
      <c r="T213" s="409"/>
    </row>
    <row r="214" spans="1:20">
      <c r="B214" s="149"/>
      <c r="C214" s="150"/>
      <c r="D214" s="151"/>
      <c r="E214" s="151"/>
      <c r="F214" s="151"/>
      <c r="G214" s="151"/>
      <c r="H214" s="151"/>
      <c r="I214" s="151"/>
      <c r="J214" s="151"/>
      <c r="K214" s="151"/>
      <c r="L214" s="151"/>
      <c r="M214" s="151"/>
      <c r="N214" s="151"/>
      <c r="O214" s="151"/>
      <c r="P214" s="151"/>
      <c r="Q214" s="151"/>
      <c r="R214" s="151"/>
      <c r="S214" s="151"/>
    </row>
    <row r="215" spans="1:20">
      <c r="A215" s="227" t="s">
        <v>278</v>
      </c>
      <c r="B215" s="81" t="s">
        <v>458</v>
      </c>
      <c r="C215" s="81"/>
      <c r="D215" s="474">
        <f>(((SUM(Założenia!D224:D228)+Założenia!D230)*Założenia!D253+SUM(Założenia!D236:D240)*Założenia!D257)*Założenia!$E$158+((Założenia!D229+Założenia!D231)*Założenia!D253+(Założenia!D241+Założenia!D242)*Założenia!D257)*Założenia!$E$158*Założenia!$E$161+(Założenia!D233*Założenia!D255+Założenia!D243*Założenia!D258)*Założenia!$E$158*Założenia!$E$160)*(1+(Założenia!D259-Założenia!$D$259)*Założenia!$E$162)+Opcje!E20*Założenia!$E$183+Opcje!E21*Założenia!$E$182</f>
        <v>342874.36083553825</v>
      </c>
      <c r="E215" s="151"/>
      <c r="F215" s="151"/>
      <c r="G215" s="151"/>
      <c r="H215" s="151"/>
      <c r="I215" s="151"/>
      <c r="J215" s="151"/>
      <c r="K215" s="151"/>
      <c r="L215" s="151"/>
      <c r="M215" s="151"/>
      <c r="N215" s="151"/>
      <c r="O215" s="151"/>
      <c r="P215" s="151"/>
      <c r="Q215" s="151"/>
      <c r="R215" s="151"/>
      <c r="S215" s="151"/>
    </row>
    <row r="216" spans="1:20" ht="17.25" customHeight="1">
      <c r="B216" s="149"/>
      <c r="C216" s="150"/>
      <c r="D216" s="152">
        <f>E14</f>
        <v>2024</v>
      </c>
      <c r="E216" s="174">
        <f t="shared" ref="E216:S216" si="45">E212</f>
        <v>2025</v>
      </c>
      <c r="F216" s="174">
        <f t="shared" si="45"/>
        <v>2026</v>
      </c>
      <c r="G216" s="174">
        <f t="shared" si="45"/>
        <v>2027</v>
      </c>
      <c r="H216" s="174">
        <f t="shared" si="45"/>
        <v>2028</v>
      </c>
      <c r="I216" s="174">
        <f t="shared" si="45"/>
        <v>2029</v>
      </c>
      <c r="J216" s="174">
        <f t="shared" si="45"/>
        <v>2030</v>
      </c>
      <c r="K216" s="174">
        <f t="shared" si="45"/>
        <v>2031</v>
      </c>
      <c r="L216" s="174">
        <f t="shared" si="45"/>
        <v>2032</v>
      </c>
      <c r="M216" s="174">
        <f t="shared" si="45"/>
        <v>2033</v>
      </c>
      <c r="N216" s="174">
        <f t="shared" si="45"/>
        <v>2034</v>
      </c>
      <c r="O216" s="174">
        <f t="shared" si="45"/>
        <v>2035</v>
      </c>
      <c r="P216" s="174">
        <f t="shared" si="45"/>
        <v>2036</v>
      </c>
      <c r="Q216" s="174">
        <f t="shared" si="45"/>
        <v>2037</v>
      </c>
      <c r="R216" s="174">
        <f t="shared" si="45"/>
        <v>2038</v>
      </c>
      <c r="S216" s="215">
        <f t="shared" si="45"/>
        <v>2039</v>
      </c>
      <c r="T216" s="126"/>
    </row>
    <row r="217" spans="1:20" ht="12.75" thickBot="1">
      <c r="B217" s="173" t="s">
        <v>348</v>
      </c>
      <c r="C217" s="150"/>
    </row>
    <row r="218" spans="1:20">
      <c r="B218" s="186" t="s">
        <v>214</v>
      </c>
      <c r="C218" s="181" t="s">
        <v>47</v>
      </c>
      <c r="D218" s="187"/>
      <c r="E218" s="187"/>
      <c r="F218" s="187"/>
      <c r="G218" s="187"/>
      <c r="H218" s="187"/>
      <c r="I218" s="187"/>
      <c r="J218" s="187"/>
      <c r="K218" s="187"/>
      <c r="L218" s="187"/>
      <c r="M218" s="187"/>
      <c r="N218" s="187"/>
      <c r="O218" s="187"/>
      <c r="P218" s="187"/>
      <c r="Q218" s="187"/>
      <c r="R218" s="187"/>
      <c r="S218" s="221"/>
    </row>
    <row r="219" spans="1:20">
      <c r="B219" s="182" t="s">
        <v>255</v>
      </c>
      <c r="C219" s="175" t="s">
        <v>47</v>
      </c>
      <c r="D219" s="70">
        <v>0</v>
      </c>
      <c r="E219" s="70">
        <v>0</v>
      </c>
      <c r="F219" s="70">
        <v>0</v>
      </c>
      <c r="G219" s="70">
        <v>0</v>
      </c>
      <c r="H219" s="70">
        <v>0</v>
      </c>
      <c r="I219" s="70">
        <v>0</v>
      </c>
      <c r="J219" s="70">
        <v>0</v>
      </c>
      <c r="K219" s="70">
        <v>2</v>
      </c>
      <c r="L219" s="70">
        <v>0</v>
      </c>
      <c r="M219" s="70">
        <v>14</v>
      </c>
      <c r="N219" s="70">
        <v>0</v>
      </c>
      <c r="O219" s="70">
        <v>0</v>
      </c>
      <c r="P219" s="70">
        <v>3</v>
      </c>
      <c r="Q219" s="70">
        <v>0</v>
      </c>
      <c r="R219" s="70">
        <v>0</v>
      </c>
      <c r="S219" s="188">
        <v>2</v>
      </c>
      <c r="T219" s="9"/>
    </row>
    <row r="220" spans="1:20">
      <c r="A220" s="179"/>
      <c r="B220" s="182" t="s">
        <v>317</v>
      </c>
      <c r="C220" s="175" t="s">
        <v>47</v>
      </c>
      <c r="D220" s="70">
        <v>0</v>
      </c>
      <c r="E220" s="70">
        <v>0</v>
      </c>
      <c r="F220" s="70">
        <v>0</v>
      </c>
      <c r="G220" s="70">
        <v>0</v>
      </c>
      <c r="H220" s="70">
        <v>0</v>
      </c>
      <c r="I220" s="70">
        <v>0</v>
      </c>
      <c r="J220" s="70">
        <v>0</v>
      </c>
      <c r="K220" s="70">
        <v>2</v>
      </c>
      <c r="L220" s="70">
        <v>0</v>
      </c>
      <c r="M220" s="70">
        <v>14</v>
      </c>
      <c r="N220" s="70">
        <v>0</v>
      </c>
      <c r="O220" s="70">
        <v>0</v>
      </c>
      <c r="P220" s="70">
        <v>3</v>
      </c>
      <c r="Q220" s="70">
        <v>0</v>
      </c>
      <c r="R220" s="70">
        <v>0</v>
      </c>
      <c r="S220" s="188">
        <v>2</v>
      </c>
      <c r="T220" s="216"/>
    </row>
    <row r="221" spans="1:20" ht="12.75" thickBot="1">
      <c r="B221" s="190" t="s">
        <v>262</v>
      </c>
      <c r="C221" s="189" t="s">
        <v>47</v>
      </c>
      <c r="D221" s="352">
        <f>D222+D234+D232</f>
        <v>21</v>
      </c>
      <c r="E221" s="352">
        <f t="shared" ref="E221:S221" si="46">E222+E234+E232</f>
        <v>21</v>
      </c>
      <c r="F221" s="352">
        <f t="shared" si="46"/>
        <v>21</v>
      </c>
      <c r="G221" s="352">
        <f t="shared" si="46"/>
        <v>21</v>
      </c>
      <c r="H221" s="352">
        <f t="shared" si="46"/>
        <v>21</v>
      </c>
      <c r="I221" s="352">
        <f t="shared" si="46"/>
        <v>21</v>
      </c>
      <c r="J221" s="352">
        <f t="shared" si="46"/>
        <v>21</v>
      </c>
      <c r="K221" s="352">
        <f t="shared" si="46"/>
        <v>21</v>
      </c>
      <c r="L221" s="352">
        <f t="shared" si="46"/>
        <v>21</v>
      </c>
      <c r="M221" s="352">
        <f t="shared" si="46"/>
        <v>21</v>
      </c>
      <c r="N221" s="352">
        <f t="shared" si="46"/>
        <v>21</v>
      </c>
      <c r="O221" s="352">
        <f t="shared" si="46"/>
        <v>21</v>
      </c>
      <c r="P221" s="352">
        <f t="shared" si="46"/>
        <v>21</v>
      </c>
      <c r="Q221" s="352">
        <f t="shared" si="46"/>
        <v>21</v>
      </c>
      <c r="R221" s="352">
        <f t="shared" si="46"/>
        <v>21</v>
      </c>
      <c r="S221" s="353">
        <f t="shared" si="46"/>
        <v>21</v>
      </c>
      <c r="T221" s="217"/>
    </row>
    <row r="222" spans="1:20">
      <c r="B222" s="354" t="s">
        <v>420</v>
      </c>
      <c r="C222" s="181"/>
      <c r="D222" s="191">
        <f>D223</f>
        <v>16</v>
      </c>
      <c r="E222" s="191">
        <f t="shared" ref="E222:S222" si="47">E223</f>
        <v>16</v>
      </c>
      <c r="F222" s="191">
        <f t="shared" si="47"/>
        <v>16</v>
      </c>
      <c r="G222" s="191">
        <f t="shared" si="47"/>
        <v>16</v>
      </c>
      <c r="H222" s="191">
        <f t="shared" si="47"/>
        <v>16</v>
      </c>
      <c r="I222" s="191">
        <f t="shared" si="47"/>
        <v>16</v>
      </c>
      <c r="J222" s="191">
        <f t="shared" si="47"/>
        <v>16</v>
      </c>
      <c r="K222" s="191">
        <f t="shared" si="47"/>
        <v>16</v>
      </c>
      <c r="L222" s="191">
        <f t="shared" si="47"/>
        <v>16</v>
      </c>
      <c r="M222" s="191">
        <f t="shared" si="47"/>
        <v>16</v>
      </c>
      <c r="N222" s="191">
        <f t="shared" si="47"/>
        <v>16</v>
      </c>
      <c r="O222" s="191">
        <f t="shared" si="47"/>
        <v>16</v>
      </c>
      <c r="P222" s="191">
        <f t="shared" si="47"/>
        <v>16</v>
      </c>
      <c r="Q222" s="191">
        <f t="shared" si="47"/>
        <v>16</v>
      </c>
      <c r="R222" s="191">
        <f t="shared" si="47"/>
        <v>16</v>
      </c>
      <c r="S222" s="496">
        <f t="shared" si="47"/>
        <v>16</v>
      </c>
      <c r="T222" s="217"/>
    </row>
    <row r="223" spans="1:20">
      <c r="A223" s="35"/>
      <c r="B223" s="343" t="s">
        <v>314</v>
      </c>
      <c r="C223" s="175" t="s">
        <v>47</v>
      </c>
      <c r="D223" s="329">
        <f>SUM(D224:D231)</f>
        <v>16</v>
      </c>
      <c r="E223" s="329">
        <f t="shared" ref="E223:S223" si="48">SUM(E224:E231)</f>
        <v>16</v>
      </c>
      <c r="F223" s="329">
        <f t="shared" si="48"/>
        <v>16</v>
      </c>
      <c r="G223" s="329">
        <f t="shared" si="48"/>
        <v>16</v>
      </c>
      <c r="H223" s="329">
        <f t="shared" si="48"/>
        <v>16</v>
      </c>
      <c r="I223" s="329">
        <f t="shared" si="48"/>
        <v>16</v>
      </c>
      <c r="J223" s="329">
        <f t="shared" si="48"/>
        <v>16</v>
      </c>
      <c r="K223" s="329">
        <f t="shared" si="48"/>
        <v>16</v>
      </c>
      <c r="L223" s="329">
        <f t="shared" si="48"/>
        <v>16</v>
      </c>
      <c r="M223" s="329">
        <f t="shared" si="48"/>
        <v>16</v>
      </c>
      <c r="N223" s="329">
        <f t="shared" si="48"/>
        <v>16</v>
      </c>
      <c r="O223" s="329">
        <f t="shared" si="48"/>
        <v>16</v>
      </c>
      <c r="P223" s="329">
        <f t="shared" si="48"/>
        <v>16</v>
      </c>
      <c r="Q223" s="329">
        <f t="shared" si="48"/>
        <v>16</v>
      </c>
      <c r="R223" s="329">
        <f t="shared" si="48"/>
        <v>16</v>
      </c>
      <c r="S223" s="334">
        <f t="shared" si="48"/>
        <v>16</v>
      </c>
      <c r="T223" s="218"/>
    </row>
    <row r="224" spans="1:20">
      <c r="A224" s="35"/>
      <c r="B224" s="182" t="s">
        <v>361</v>
      </c>
      <c r="C224" s="175" t="s">
        <v>47</v>
      </c>
      <c r="D224" s="178"/>
      <c r="E224" s="178"/>
      <c r="F224" s="178"/>
      <c r="G224" s="178"/>
      <c r="H224" s="178"/>
      <c r="I224" s="178"/>
      <c r="J224" s="178"/>
      <c r="K224" s="178"/>
      <c r="L224" s="178"/>
      <c r="M224" s="178"/>
      <c r="N224" s="178"/>
      <c r="O224" s="178"/>
      <c r="P224" s="178"/>
      <c r="Q224" s="178"/>
      <c r="R224" s="178"/>
      <c r="S224" s="183"/>
      <c r="T224" s="218"/>
    </row>
    <row r="225" spans="1:20">
      <c r="A225" s="35"/>
      <c r="B225" s="182" t="s">
        <v>362</v>
      </c>
      <c r="C225" s="175" t="s">
        <v>47</v>
      </c>
      <c r="D225" s="178"/>
      <c r="E225" s="178"/>
      <c r="F225" s="178"/>
      <c r="G225" s="178"/>
      <c r="H225" s="178"/>
      <c r="I225" s="178"/>
      <c r="J225" s="178"/>
      <c r="K225" s="178"/>
      <c r="L225" s="178"/>
      <c r="M225" s="178"/>
      <c r="N225" s="178"/>
      <c r="O225" s="178"/>
      <c r="P225" s="178"/>
      <c r="Q225" s="178"/>
      <c r="R225" s="178"/>
      <c r="S225" s="183"/>
      <c r="T225" s="218"/>
    </row>
    <row r="226" spans="1:20">
      <c r="A226" s="35"/>
      <c r="B226" s="182" t="s">
        <v>363</v>
      </c>
      <c r="C226" s="175" t="s">
        <v>47</v>
      </c>
      <c r="D226" s="178"/>
      <c r="E226" s="178"/>
      <c r="F226" s="178"/>
      <c r="G226" s="178"/>
      <c r="H226" s="178"/>
      <c r="I226" s="178"/>
      <c r="J226" s="178"/>
      <c r="K226" s="178"/>
      <c r="L226" s="178"/>
      <c r="M226" s="178"/>
      <c r="N226" s="178"/>
      <c r="O226" s="178"/>
      <c r="P226" s="178"/>
      <c r="Q226" s="178"/>
      <c r="R226" s="178"/>
      <c r="S226" s="183"/>
      <c r="T226" s="218"/>
    </row>
    <row r="227" spans="1:20">
      <c r="A227" s="35"/>
      <c r="B227" s="182" t="s">
        <v>364</v>
      </c>
      <c r="C227" s="175" t="s">
        <v>47</v>
      </c>
      <c r="D227" s="178"/>
      <c r="E227" s="178"/>
      <c r="F227" s="178"/>
      <c r="G227" s="178"/>
      <c r="H227" s="178"/>
      <c r="I227" s="178"/>
      <c r="J227" s="178"/>
      <c r="K227" s="178"/>
      <c r="L227" s="178"/>
      <c r="M227" s="178"/>
      <c r="N227" s="178"/>
      <c r="O227" s="178"/>
      <c r="P227" s="178"/>
      <c r="Q227" s="178"/>
      <c r="R227" s="178"/>
      <c r="S227" s="183"/>
      <c r="T227" s="218"/>
    </row>
    <row r="228" spans="1:20">
      <c r="A228" s="35"/>
      <c r="B228" s="182" t="s">
        <v>365</v>
      </c>
      <c r="C228" s="175" t="s">
        <v>47</v>
      </c>
      <c r="D228" s="178">
        <v>2</v>
      </c>
      <c r="E228" s="178">
        <v>2</v>
      </c>
      <c r="F228" s="178">
        <v>2</v>
      </c>
      <c r="G228" s="178">
        <v>2</v>
      </c>
      <c r="H228" s="178">
        <v>2</v>
      </c>
      <c r="I228" s="178">
        <v>2</v>
      </c>
      <c r="J228" s="178">
        <v>2</v>
      </c>
      <c r="K228" s="178">
        <v>0</v>
      </c>
      <c r="L228" s="178">
        <v>0</v>
      </c>
      <c r="M228" s="178">
        <v>0</v>
      </c>
      <c r="N228" s="178">
        <v>0</v>
      </c>
      <c r="O228" s="178">
        <v>0</v>
      </c>
      <c r="P228" s="178">
        <v>0</v>
      </c>
      <c r="Q228" s="178">
        <v>0</v>
      </c>
      <c r="R228" s="178">
        <v>0</v>
      </c>
      <c r="S228" s="183">
        <v>0</v>
      </c>
      <c r="T228" s="218"/>
    </row>
    <row r="229" spans="1:20">
      <c r="A229" s="35"/>
      <c r="B229" s="182" t="s">
        <v>367</v>
      </c>
      <c r="C229" s="175" t="s">
        <v>47</v>
      </c>
      <c r="D229" s="178">
        <v>14</v>
      </c>
      <c r="E229" s="178">
        <v>14</v>
      </c>
      <c r="F229" s="178">
        <v>14</v>
      </c>
      <c r="G229" s="178">
        <v>14</v>
      </c>
      <c r="H229" s="178">
        <v>14</v>
      </c>
      <c r="I229" s="178">
        <v>14</v>
      </c>
      <c r="J229" s="178">
        <v>14</v>
      </c>
      <c r="K229" s="178">
        <v>16</v>
      </c>
      <c r="L229" s="178">
        <v>16</v>
      </c>
      <c r="M229" s="178">
        <v>16</v>
      </c>
      <c r="N229" s="178">
        <v>16</v>
      </c>
      <c r="O229" s="178">
        <v>16</v>
      </c>
      <c r="P229" s="178">
        <v>16</v>
      </c>
      <c r="Q229" s="178">
        <v>16</v>
      </c>
      <c r="R229" s="178">
        <v>16</v>
      </c>
      <c r="S229" s="183">
        <v>16</v>
      </c>
      <c r="T229" s="218"/>
    </row>
    <row r="230" spans="1:20">
      <c r="A230" s="35"/>
      <c r="B230" s="190" t="s">
        <v>391</v>
      </c>
      <c r="C230" s="175" t="s">
        <v>47</v>
      </c>
      <c r="D230" s="414"/>
      <c r="E230" s="414"/>
      <c r="F230" s="414"/>
      <c r="G230" s="414"/>
      <c r="H230" s="414"/>
      <c r="I230" s="414"/>
      <c r="J230" s="414"/>
      <c r="K230" s="414"/>
      <c r="L230" s="414"/>
      <c r="M230" s="414"/>
      <c r="N230" s="414"/>
      <c r="O230" s="414"/>
      <c r="P230" s="414"/>
      <c r="Q230" s="414"/>
      <c r="R230" s="414"/>
      <c r="S230" s="415"/>
      <c r="T230" s="218"/>
    </row>
    <row r="231" spans="1:20" ht="12.75" thickBot="1">
      <c r="A231" s="35"/>
      <c r="B231" s="190" t="s">
        <v>392</v>
      </c>
      <c r="C231" s="175" t="s">
        <v>47</v>
      </c>
      <c r="D231" s="414"/>
      <c r="E231" s="414"/>
      <c r="F231" s="414"/>
      <c r="G231" s="414"/>
      <c r="H231" s="414"/>
      <c r="I231" s="414"/>
      <c r="J231" s="414"/>
      <c r="K231" s="414"/>
      <c r="L231" s="414"/>
      <c r="M231" s="414"/>
      <c r="N231" s="414"/>
      <c r="O231" s="414"/>
      <c r="P231" s="414"/>
      <c r="Q231" s="414"/>
      <c r="R231" s="414"/>
      <c r="S231" s="415"/>
      <c r="T231" s="218"/>
    </row>
    <row r="232" spans="1:20">
      <c r="A232" s="35"/>
      <c r="B232" s="354" t="s">
        <v>418</v>
      </c>
      <c r="C232" s="189"/>
      <c r="D232" s="352">
        <f>D233</f>
        <v>2</v>
      </c>
      <c r="E232" s="352">
        <f t="shared" ref="E232:S232" si="49">E233</f>
        <v>2</v>
      </c>
      <c r="F232" s="352">
        <f t="shared" si="49"/>
        <v>2</v>
      </c>
      <c r="G232" s="352">
        <f t="shared" si="49"/>
        <v>2</v>
      </c>
      <c r="H232" s="352">
        <f t="shared" si="49"/>
        <v>2</v>
      </c>
      <c r="I232" s="352">
        <f t="shared" si="49"/>
        <v>2</v>
      </c>
      <c r="J232" s="352">
        <f t="shared" si="49"/>
        <v>2</v>
      </c>
      <c r="K232" s="352">
        <f t="shared" si="49"/>
        <v>2</v>
      </c>
      <c r="L232" s="352">
        <f t="shared" si="49"/>
        <v>2</v>
      </c>
      <c r="M232" s="352">
        <f t="shared" si="49"/>
        <v>2</v>
      </c>
      <c r="N232" s="352">
        <f t="shared" si="49"/>
        <v>2</v>
      </c>
      <c r="O232" s="352">
        <f t="shared" si="49"/>
        <v>2</v>
      </c>
      <c r="P232" s="352">
        <f t="shared" si="49"/>
        <v>2</v>
      </c>
      <c r="Q232" s="352">
        <f t="shared" si="49"/>
        <v>2</v>
      </c>
      <c r="R232" s="352">
        <f t="shared" si="49"/>
        <v>2</v>
      </c>
      <c r="S232" s="353">
        <f t="shared" si="49"/>
        <v>2</v>
      </c>
      <c r="T232" s="218"/>
    </row>
    <row r="233" spans="1:20" ht="12.75" thickBot="1">
      <c r="A233" s="35"/>
      <c r="B233" s="355" t="s">
        <v>313</v>
      </c>
      <c r="C233" s="185" t="s">
        <v>47</v>
      </c>
      <c r="D233" s="472">
        <v>2</v>
      </c>
      <c r="E233" s="472">
        <v>2</v>
      </c>
      <c r="F233" s="472">
        <v>2</v>
      </c>
      <c r="G233" s="472">
        <v>2</v>
      </c>
      <c r="H233" s="472">
        <v>2</v>
      </c>
      <c r="I233" s="472">
        <v>2</v>
      </c>
      <c r="J233" s="472">
        <v>2</v>
      </c>
      <c r="K233" s="472">
        <v>2</v>
      </c>
      <c r="L233" s="472">
        <v>2</v>
      </c>
      <c r="M233" s="472">
        <v>2</v>
      </c>
      <c r="N233" s="472">
        <v>2</v>
      </c>
      <c r="O233" s="472">
        <v>2</v>
      </c>
      <c r="P233" s="472">
        <v>2</v>
      </c>
      <c r="Q233" s="472">
        <v>2</v>
      </c>
      <c r="R233" s="472">
        <v>2</v>
      </c>
      <c r="S233" s="497">
        <v>2</v>
      </c>
      <c r="T233" s="218"/>
    </row>
    <row r="234" spans="1:20">
      <c r="B234" s="354" t="s">
        <v>419</v>
      </c>
      <c r="C234" s="181"/>
      <c r="D234" s="191">
        <f>D235+D243</f>
        <v>3</v>
      </c>
      <c r="E234" s="191">
        <f t="shared" ref="E234:S234" si="50">E235+E243</f>
        <v>3</v>
      </c>
      <c r="F234" s="191">
        <f t="shared" si="50"/>
        <v>3</v>
      </c>
      <c r="G234" s="191">
        <f t="shared" si="50"/>
        <v>3</v>
      </c>
      <c r="H234" s="191">
        <f t="shared" si="50"/>
        <v>3</v>
      </c>
      <c r="I234" s="191">
        <f t="shared" si="50"/>
        <v>3</v>
      </c>
      <c r="J234" s="191">
        <f t="shared" si="50"/>
        <v>3</v>
      </c>
      <c r="K234" s="191">
        <f t="shared" si="50"/>
        <v>3</v>
      </c>
      <c r="L234" s="191">
        <f t="shared" si="50"/>
        <v>3</v>
      </c>
      <c r="M234" s="191">
        <f t="shared" si="50"/>
        <v>3</v>
      </c>
      <c r="N234" s="191">
        <f t="shared" si="50"/>
        <v>3</v>
      </c>
      <c r="O234" s="191">
        <f t="shared" si="50"/>
        <v>3</v>
      </c>
      <c r="P234" s="191">
        <f t="shared" si="50"/>
        <v>3</v>
      </c>
      <c r="Q234" s="191">
        <f t="shared" si="50"/>
        <v>3</v>
      </c>
      <c r="R234" s="191">
        <f t="shared" si="50"/>
        <v>3</v>
      </c>
      <c r="S234" s="496">
        <f t="shared" si="50"/>
        <v>3</v>
      </c>
      <c r="T234" s="217"/>
    </row>
    <row r="235" spans="1:20">
      <c r="A235" s="35"/>
      <c r="B235" s="343" t="s">
        <v>314</v>
      </c>
      <c r="C235" s="175" t="s">
        <v>47</v>
      </c>
      <c r="D235" s="329">
        <f>SUM(D236:D242)</f>
        <v>3</v>
      </c>
      <c r="E235" s="329">
        <f t="shared" ref="E235:S235" si="51">SUM(E236:E242)</f>
        <v>3</v>
      </c>
      <c r="F235" s="329">
        <f t="shared" si="51"/>
        <v>3</v>
      </c>
      <c r="G235" s="329">
        <f t="shared" si="51"/>
        <v>3</v>
      </c>
      <c r="H235" s="329">
        <f t="shared" si="51"/>
        <v>3</v>
      </c>
      <c r="I235" s="329">
        <f t="shared" si="51"/>
        <v>3</v>
      </c>
      <c r="J235" s="329">
        <f t="shared" si="51"/>
        <v>3</v>
      </c>
      <c r="K235" s="329">
        <f t="shared" si="51"/>
        <v>3</v>
      </c>
      <c r="L235" s="329">
        <f t="shared" si="51"/>
        <v>3</v>
      </c>
      <c r="M235" s="329">
        <f t="shared" si="51"/>
        <v>3</v>
      </c>
      <c r="N235" s="329">
        <f t="shared" si="51"/>
        <v>3</v>
      </c>
      <c r="O235" s="329">
        <f t="shared" si="51"/>
        <v>3</v>
      </c>
      <c r="P235" s="329">
        <f t="shared" si="51"/>
        <v>3</v>
      </c>
      <c r="Q235" s="329">
        <f t="shared" si="51"/>
        <v>3</v>
      </c>
      <c r="R235" s="329">
        <f t="shared" si="51"/>
        <v>3</v>
      </c>
      <c r="S235" s="334">
        <f t="shared" si="51"/>
        <v>3</v>
      </c>
      <c r="T235" s="218"/>
    </row>
    <row r="236" spans="1:20">
      <c r="A236" s="35"/>
      <c r="B236" s="182" t="s">
        <v>361</v>
      </c>
      <c r="C236" s="175" t="s">
        <v>47</v>
      </c>
      <c r="D236" s="178"/>
      <c r="E236" s="178"/>
      <c r="F236" s="178"/>
      <c r="G236" s="178"/>
      <c r="H236" s="178"/>
      <c r="I236" s="178"/>
      <c r="J236" s="178"/>
      <c r="K236" s="178"/>
      <c r="L236" s="178"/>
      <c r="M236" s="178"/>
      <c r="N236" s="178"/>
      <c r="O236" s="178"/>
      <c r="P236" s="178"/>
      <c r="Q236" s="178"/>
      <c r="R236" s="178"/>
      <c r="S236" s="183"/>
      <c r="T236" s="218"/>
    </row>
    <row r="237" spans="1:20">
      <c r="A237" s="35"/>
      <c r="B237" s="182" t="s">
        <v>362</v>
      </c>
      <c r="C237" s="175" t="s">
        <v>47</v>
      </c>
      <c r="D237" s="178"/>
      <c r="E237" s="178"/>
      <c r="F237" s="178"/>
      <c r="G237" s="178"/>
      <c r="H237" s="178"/>
      <c r="I237" s="178"/>
      <c r="J237" s="178"/>
      <c r="K237" s="178"/>
      <c r="L237" s="178"/>
      <c r="M237" s="178"/>
      <c r="N237" s="178"/>
      <c r="O237" s="178"/>
      <c r="P237" s="178"/>
      <c r="Q237" s="178"/>
      <c r="R237" s="178"/>
      <c r="S237" s="183"/>
      <c r="T237" s="218"/>
    </row>
    <row r="238" spans="1:20">
      <c r="A238" s="35"/>
      <c r="B238" s="182" t="s">
        <v>363</v>
      </c>
      <c r="C238" s="175" t="s">
        <v>47</v>
      </c>
      <c r="D238" s="178"/>
      <c r="E238" s="178"/>
      <c r="F238" s="178"/>
      <c r="G238" s="178"/>
      <c r="H238" s="178"/>
      <c r="I238" s="178"/>
      <c r="J238" s="178"/>
      <c r="K238" s="178"/>
      <c r="L238" s="178"/>
      <c r="M238" s="178"/>
      <c r="N238" s="178"/>
      <c r="O238" s="178"/>
      <c r="P238" s="178"/>
      <c r="Q238" s="178"/>
      <c r="R238" s="178"/>
      <c r="S238" s="183"/>
      <c r="T238" s="218"/>
    </row>
    <row r="239" spans="1:20">
      <c r="A239" s="35"/>
      <c r="B239" s="182" t="s">
        <v>364</v>
      </c>
      <c r="C239" s="175" t="s">
        <v>47</v>
      </c>
      <c r="D239" s="178"/>
      <c r="E239" s="178"/>
      <c r="F239" s="178"/>
      <c r="G239" s="178"/>
      <c r="H239" s="178"/>
      <c r="I239" s="178"/>
      <c r="J239" s="178"/>
      <c r="K239" s="178"/>
      <c r="L239" s="178"/>
      <c r="M239" s="178"/>
      <c r="N239" s="178"/>
      <c r="O239" s="178"/>
      <c r="P239" s="178"/>
      <c r="Q239" s="178"/>
      <c r="R239" s="178"/>
      <c r="S239" s="183"/>
      <c r="T239" s="218"/>
    </row>
    <row r="240" spans="1:20">
      <c r="A240" s="35"/>
      <c r="B240" s="182" t="s">
        <v>365</v>
      </c>
      <c r="C240" s="175" t="s">
        <v>47</v>
      </c>
      <c r="D240" s="178"/>
      <c r="E240" s="178"/>
      <c r="F240" s="178"/>
      <c r="G240" s="178"/>
      <c r="H240" s="178"/>
      <c r="I240" s="178"/>
      <c r="J240" s="178"/>
      <c r="K240" s="178"/>
      <c r="L240" s="178"/>
      <c r="M240" s="178"/>
      <c r="N240" s="178"/>
      <c r="O240" s="178"/>
      <c r="P240" s="178"/>
      <c r="Q240" s="178"/>
      <c r="R240" s="178"/>
      <c r="S240" s="183"/>
      <c r="T240" s="218"/>
    </row>
    <row r="241" spans="1:20">
      <c r="A241" s="35"/>
      <c r="B241" s="182" t="s">
        <v>367</v>
      </c>
      <c r="C241" s="175" t="s">
        <v>47</v>
      </c>
      <c r="D241" s="178">
        <v>3</v>
      </c>
      <c r="E241" s="178">
        <v>3</v>
      </c>
      <c r="F241" s="178">
        <v>3</v>
      </c>
      <c r="G241" s="178">
        <v>3</v>
      </c>
      <c r="H241" s="178">
        <v>3</v>
      </c>
      <c r="I241" s="178">
        <v>3</v>
      </c>
      <c r="J241" s="178">
        <v>3</v>
      </c>
      <c r="K241" s="178">
        <v>3</v>
      </c>
      <c r="L241" s="178">
        <v>3</v>
      </c>
      <c r="M241" s="178">
        <v>3</v>
      </c>
      <c r="N241" s="178">
        <v>3</v>
      </c>
      <c r="O241" s="178">
        <v>3</v>
      </c>
      <c r="P241" s="178">
        <v>3</v>
      </c>
      <c r="Q241" s="178">
        <v>3</v>
      </c>
      <c r="R241" s="178">
        <v>3</v>
      </c>
      <c r="S241" s="183">
        <v>3</v>
      </c>
      <c r="T241" s="218"/>
    </row>
    <row r="242" spans="1:20">
      <c r="A242" s="35"/>
      <c r="B242" s="190" t="s">
        <v>392</v>
      </c>
      <c r="C242" s="175" t="s">
        <v>47</v>
      </c>
      <c r="D242" s="178"/>
      <c r="E242" s="414"/>
      <c r="F242" s="414"/>
      <c r="G242" s="414"/>
      <c r="H242" s="414"/>
      <c r="I242" s="414"/>
      <c r="J242" s="414"/>
      <c r="K242" s="414"/>
      <c r="L242" s="414"/>
      <c r="M242" s="414"/>
      <c r="N242" s="414"/>
      <c r="O242" s="414"/>
      <c r="P242" s="414"/>
      <c r="Q242" s="414"/>
      <c r="R242" s="414"/>
      <c r="S242" s="415"/>
      <c r="T242" s="218"/>
    </row>
    <row r="243" spans="1:20" ht="12.75" thickBot="1">
      <c r="A243" s="35"/>
      <c r="B243" s="355" t="s">
        <v>313</v>
      </c>
      <c r="C243" s="185" t="s">
        <v>47</v>
      </c>
      <c r="D243" s="356"/>
      <c r="E243" s="356"/>
      <c r="F243" s="356"/>
      <c r="G243" s="356"/>
      <c r="H243" s="356"/>
      <c r="I243" s="356"/>
      <c r="J243" s="356"/>
      <c r="K243" s="356"/>
      <c r="L243" s="356"/>
      <c r="M243" s="356"/>
      <c r="N243" s="356"/>
      <c r="O243" s="356"/>
      <c r="P243" s="356"/>
      <c r="Q243" s="356"/>
      <c r="R243" s="356"/>
      <c r="S243" s="357"/>
      <c r="T243" s="218"/>
    </row>
    <row r="244" spans="1:20" ht="12.75" thickBot="1">
      <c r="B244" s="186" t="s">
        <v>213</v>
      </c>
      <c r="C244" s="181"/>
      <c r="D244" s="377">
        <f>D245+D249+D247</f>
        <v>1033940.2</v>
      </c>
      <c r="E244" s="377">
        <f t="shared" ref="E244:S244" si="52">E245+E249+E247</f>
        <v>1023458.2999999999</v>
      </c>
      <c r="F244" s="377">
        <f t="shared" si="52"/>
        <v>1023458.2999999999</v>
      </c>
      <c r="G244" s="377">
        <f t="shared" si="52"/>
        <v>1023458.3</v>
      </c>
      <c r="H244" s="377">
        <f t="shared" si="52"/>
        <v>1023458.3</v>
      </c>
      <c r="I244" s="377">
        <f t="shared" si="52"/>
        <v>1023458.3</v>
      </c>
      <c r="J244" s="377">
        <f t="shared" si="52"/>
        <v>1023458.3</v>
      </c>
      <c r="K244" s="377">
        <f t="shared" si="52"/>
        <v>1023458.3</v>
      </c>
      <c r="L244" s="377">
        <f t="shared" si="52"/>
        <v>1023458.3</v>
      </c>
      <c r="M244" s="377">
        <f t="shared" si="52"/>
        <v>1023458.3</v>
      </c>
      <c r="N244" s="377">
        <f t="shared" si="52"/>
        <v>1023458.3</v>
      </c>
      <c r="O244" s="377">
        <f t="shared" si="52"/>
        <v>1023458.3</v>
      </c>
      <c r="P244" s="377">
        <f t="shared" si="52"/>
        <v>1023458.3</v>
      </c>
      <c r="Q244" s="377">
        <f t="shared" si="52"/>
        <v>1023458.3</v>
      </c>
      <c r="R244" s="377">
        <f t="shared" si="52"/>
        <v>1023458.3</v>
      </c>
      <c r="S244" s="498">
        <f t="shared" si="52"/>
        <v>1023458.3</v>
      </c>
    </row>
    <row r="245" spans="1:20">
      <c r="B245" s="354" t="s">
        <v>420</v>
      </c>
      <c r="C245" s="175"/>
      <c r="D245" s="347">
        <f>D246</f>
        <v>788068.75294117641</v>
      </c>
      <c r="E245" s="347">
        <f t="shared" ref="E245:S245" si="53">E246</f>
        <v>777586.85294117639</v>
      </c>
      <c r="F245" s="347">
        <f t="shared" si="53"/>
        <v>777586.85294117639</v>
      </c>
      <c r="G245" s="347">
        <f t="shared" si="53"/>
        <v>779436.6</v>
      </c>
      <c r="H245" s="347">
        <f t="shared" si="53"/>
        <v>779436.6</v>
      </c>
      <c r="I245" s="347">
        <f t="shared" si="53"/>
        <v>779436.6</v>
      </c>
      <c r="J245" s="347">
        <f t="shared" si="53"/>
        <v>796620.88421052636</v>
      </c>
      <c r="K245" s="347">
        <f t="shared" si="53"/>
        <v>796620.88421052636</v>
      </c>
      <c r="L245" s="347">
        <f t="shared" si="53"/>
        <v>796620.88421052636</v>
      </c>
      <c r="M245" s="347">
        <f t="shared" si="53"/>
        <v>796620.88421052636</v>
      </c>
      <c r="N245" s="347">
        <f t="shared" si="53"/>
        <v>796620.88421052636</v>
      </c>
      <c r="O245" s="347">
        <f t="shared" si="53"/>
        <v>796620.88421052636</v>
      </c>
      <c r="P245" s="347">
        <f t="shared" si="53"/>
        <v>796620.88421052636</v>
      </c>
      <c r="Q245" s="347">
        <f t="shared" si="53"/>
        <v>796620.88421052636</v>
      </c>
      <c r="R245" s="347">
        <f t="shared" si="53"/>
        <v>796620.88421052636</v>
      </c>
      <c r="S245" s="349">
        <f t="shared" si="53"/>
        <v>796620.88421052636</v>
      </c>
    </row>
    <row r="246" spans="1:20" ht="12.75" thickBot="1">
      <c r="B246" s="182" t="s">
        <v>204</v>
      </c>
      <c r="C246" s="175" t="s">
        <v>119</v>
      </c>
      <c r="D246" s="70">
        <v>788068.75294117641</v>
      </c>
      <c r="E246" s="70">
        <v>777586.85294117639</v>
      </c>
      <c r="F246" s="70">
        <v>777586.85294117639</v>
      </c>
      <c r="G246" s="70">
        <v>779436.6</v>
      </c>
      <c r="H246" s="70">
        <v>779436.6</v>
      </c>
      <c r="I246" s="70">
        <v>779436.6</v>
      </c>
      <c r="J246" s="70">
        <v>796620.88421052636</v>
      </c>
      <c r="K246" s="70">
        <v>796620.88421052636</v>
      </c>
      <c r="L246" s="70">
        <v>796620.88421052636</v>
      </c>
      <c r="M246" s="70">
        <v>796620.88421052636</v>
      </c>
      <c r="N246" s="70">
        <v>796620.88421052636</v>
      </c>
      <c r="O246" s="70">
        <v>796620.88421052636</v>
      </c>
      <c r="P246" s="70">
        <v>796620.88421052636</v>
      </c>
      <c r="Q246" s="70">
        <v>796620.88421052636</v>
      </c>
      <c r="R246" s="70">
        <v>796620.88421052636</v>
      </c>
      <c r="S246" s="188">
        <v>796620.88421052636</v>
      </c>
      <c r="T246" s="145"/>
    </row>
    <row r="247" spans="1:20">
      <c r="B247" s="354" t="s">
        <v>418</v>
      </c>
      <c r="C247" s="175"/>
      <c r="D247" s="347">
        <f>D248</f>
        <v>77471</v>
      </c>
      <c r="E247" s="347">
        <f t="shared" ref="E247:S247" si="54">E248</f>
        <v>77471</v>
      </c>
      <c r="F247" s="347">
        <f t="shared" si="54"/>
        <v>77471</v>
      </c>
      <c r="G247" s="347">
        <f t="shared" si="54"/>
        <v>77471</v>
      </c>
      <c r="H247" s="347">
        <f t="shared" si="54"/>
        <v>77471</v>
      </c>
      <c r="I247" s="347">
        <f t="shared" si="54"/>
        <v>77471</v>
      </c>
      <c r="J247" s="347">
        <f t="shared" si="54"/>
        <v>77471</v>
      </c>
      <c r="K247" s="347">
        <f t="shared" si="54"/>
        <v>77471</v>
      </c>
      <c r="L247" s="347">
        <f t="shared" si="54"/>
        <v>77471</v>
      </c>
      <c r="M247" s="347">
        <f t="shared" si="54"/>
        <v>77471</v>
      </c>
      <c r="N247" s="347">
        <f t="shared" si="54"/>
        <v>77471</v>
      </c>
      <c r="O247" s="347">
        <f t="shared" si="54"/>
        <v>77471</v>
      </c>
      <c r="P247" s="347">
        <f t="shared" si="54"/>
        <v>77471</v>
      </c>
      <c r="Q247" s="347">
        <f t="shared" si="54"/>
        <v>77471</v>
      </c>
      <c r="R247" s="347">
        <f t="shared" si="54"/>
        <v>77471</v>
      </c>
      <c r="S247" s="349">
        <f t="shared" si="54"/>
        <v>77471</v>
      </c>
      <c r="T247" s="145"/>
    </row>
    <row r="248" spans="1:20" ht="12.75" thickBot="1">
      <c r="B248" s="182" t="s">
        <v>313</v>
      </c>
      <c r="C248" s="175" t="s">
        <v>119</v>
      </c>
      <c r="D248" s="70">
        <v>77471</v>
      </c>
      <c r="E248" s="70">
        <v>77471</v>
      </c>
      <c r="F248" s="70">
        <v>77471</v>
      </c>
      <c r="G248" s="70">
        <v>77471</v>
      </c>
      <c r="H248" s="70">
        <v>77471</v>
      </c>
      <c r="I248" s="70">
        <v>77471</v>
      </c>
      <c r="J248" s="70">
        <v>77471</v>
      </c>
      <c r="K248" s="70">
        <v>77471</v>
      </c>
      <c r="L248" s="70">
        <v>77471</v>
      </c>
      <c r="M248" s="70">
        <v>77471</v>
      </c>
      <c r="N248" s="70">
        <v>77471</v>
      </c>
      <c r="O248" s="70">
        <v>77471</v>
      </c>
      <c r="P248" s="70">
        <v>77471</v>
      </c>
      <c r="Q248" s="70">
        <v>77471</v>
      </c>
      <c r="R248" s="70">
        <v>77471</v>
      </c>
      <c r="S248" s="188">
        <v>77471</v>
      </c>
      <c r="T248" s="145"/>
    </row>
    <row r="249" spans="1:20">
      <c r="B249" s="354" t="s">
        <v>419</v>
      </c>
      <c r="C249" s="175" t="s">
        <v>119</v>
      </c>
      <c r="D249" s="347">
        <f>D250+D251</f>
        <v>168400.44705882354</v>
      </c>
      <c r="E249" s="347">
        <f t="shared" ref="E249:S249" si="55">E250+E251</f>
        <v>168400.44705882354</v>
      </c>
      <c r="F249" s="347">
        <f t="shared" si="55"/>
        <v>168400.44705882354</v>
      </c>
      <c r="G249" s="347">
        <f t="shared" si="55"/>
        <v>166550.70000000001</v>
      </c>
      <c r="H249" s="347">
        <f t="shared" si="55"/>
        <v>166550.70000000001</v>
      </c>
      <c r="I249" s="347">
        <f t="shared" si="55"/>
        <v>166550.70000000001</v>
      </c>
      <c r="J249" s="347">
        <f t="shared" si="55"/>
        <v>149366.41578947371</v>
      </c>
      <c r="K249" s="347">
        <f t="shared" si="55"/>
        <v>149366.41578947371</v>
      </c>
      <c r="L249" s="347">
        <f t="shared" si="55"/>
        <v>149366.41578947371</v>
      </c>
      <c r="M249" s="347">
        <f t="shared" si="55"/>
        <v>149366.41578947371</v>
      </c>
      <c r="N249" s="347">
        <f t="shared" si="55"/>
        <v>149366.41578947371</v>
      </c>
      <c r="O249" s="347">
        <f t="shared" si="55"/>
        <v>149366.41578947371</v>
      </c>
      <c r="P249" s="347">
        <f t="shared" si="55"/>
        <v>149366.41578947371</v>
      </c>
      <c r="Q249" s="347">
        <f t="shared" si="55"/>
        <v>149366.41578947371</v>
      </c>
      <c r="R249" s="347">
        <f t="shared" si="55"/>
        <v>149366.41578947371</v>
      </c>
      <c r="S249" s="349">
        <f t="shared" si="55"/>
        <v>149366.41578947371</v>
      </c>
    </row>
    <row r="250" spans="1:20">
      <c r="B250" s="182" t="s">
        <v>204</v>
      </c>
      <c r="C250" s="175" t="s">
        <v>119</v>
      </c>
      <c r="D250" s="70">
        <v>168400.44705882354</v>
      </c>
      <c r="E250" s="70">
        <v>168400.44705882354</v>
      </c>
      <c r="F250" s="70">
        <v>168400.44705882354</v>
      </c>
      <c r="G250" s="70">
        <v>166550.70000000001</v>
      </c>
      <c r="H250" s="70">
        <v>166550.70000000001</v>
      </c>
      <c r="I250" s="70">
        <v>166550.70000000001</v>
      </c>
      <c r="J250" s="70">
        <v>149366.41578947371</v>
      </c>
      <c r="K250" s="70">
        <v>149366.41578947371</v>
      </c>
      <c r="L250" s="70">
        <v>149366.41578947371</v>
      </c>
      <c r="M250" s="70">
        <v>149366.41578947371</v>
      </c>
      <c r="N250" s="70">
        <v>149366.41578947371</v>
      </c>
      <c r="O250" s="70">
        <v>149366.41578947371</v>
      </c>
      <c r="P250" s="70">
        <v>149366.41578947371</v>
      </c>
      <c r="Q250" s="70">
        <v>149366.41578947371</v>
      </c>
      <c r="R250" s="70">
        <v>149366.41578947371</v>
      </c>
      <c r="S250" s="188">
        <v>149366.41578947371</v>
      </c>
      <c r="T250" s="145"/>
    </row>
    <row r="251" spans="1:20" ht="12.75" thickBot="1">
      <c r="B251" s="182" t="s">
        <v>313</v>
      </c>
      <c r="C251" s="175" t="s">
        <v>119</v>
      </c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188"/>
      <c r="T251" s="145"/>
    </row>
    <row r="252" spans="1:20">
      <c r="B252" s="354" t="s">
        <v>420</v>
      </c>
      <c r="C252" s="175"/>
      <c r="D252" s="70"/>
      <c r="E252" s="347"/>
      <c r="F252" s="347"/>
      <c r="G252" s="347"/>
      <c r="H252" s="347"/>
      <c r="I252" s="347"/>
      <c r="J252" s="347"/>
      <c r="K252" s="347"/>
      <c r="L252" s="347"/>
      <c r="M252" s="347"/>
      <c r="N252" s="347"/>
      <c r="O252" s="347"/>
      <c r="P252" s="347"/>
      <c r="Q252" s="347"/>
      <c r="R252" s="347"/>
      <c r="S252" s="349"/>
    </row>
    <row r="253" spans="1:20" ht="12.75" thickBot="1">
      <c r="B253" s="182" t="s">
        <v>204</v>
      </c>
      <c r="C253" s="175" t="s">
        <v>402</v>
      </c>
      <c r="D253" s="70">
        <f t="shared" ref="D253:S253" si="56">IFERROR(D246/D223,0)</f>
        <v>49254.297058823526</v>
      </c>
      <c r="E253" s="70">
        <f t="shared" si="56"/>
        <v>48599.178308823524</v>
      </c>
      <c r="F253" s="70">
        <f t="shared" si="56"/>
        <v>48599.178308823524</v>
      </c>
      <c r="G253" s="70">
        <f t="shared" si="56"/>
        <v>48714.787499999999</v>
      </c>
      <c r="H253" s="70">
        <f t="shared" si="56"/>
        <v>48714.787499999999</v>
      </c>
      <c r="I253" s="70">
        <f t="shared" si="56"/>
        <v>48714.787499999999</v>
      </c>
      <c r="J253" s="70">
        <f t="shared" si="56"/>
        <v>49788.805263157898</v>
      </c>
      <c r="K253" s="70">
        <f t="shared" si="56"/>
        <v>49788.805263157898</v>
      </c>
      <c r="L253" s="70">
        <f t="shared" si="56"/>
        <v>49788.805263157898</v>
      </c>
      <c r="M253" s="70">
        <f t="shared" si="56"/>
        <v>49788.805263157898</v>
      </c>
      <c r="N253" s="70">
        <f t="shared" si="56"/>
        <v>49788.805263157898</v>
      </c>
      <c r="O253" s="70">
        <f t="shared" si="56"/>
        <v>49788.805263157898</v>
      </c>
      <c r="P253" s="70">
        <f t="shared" si="56"/>
        <v>49788.805263157898</v>
      </c>
      <c r="Q253" s="70">
        <f t="shared" si="56"/>
        <v>49788.805263157898</v>
      </c>
      <c r="R253" s="70">
        <f t="shared" si="56"/>
        <v>49788.805263157898</v>
      </c>
      <c r="S253" s="188">
        <f t="shared" si="56"/>
        <v>49788.805263157898</v>
      </c>
      <c r="T253" s="145"/>
    </row>
    <row r="254" spans="1:20">
      <c r="B254" s="354" t="s">
        <v>418</v>
      </c>
      <c r="C254" s="175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188"/>
      <c r="T254" s="145"/>
    </row>
    <row r="255" spans="1:20" ht="12.75" thickBot="1">
      <c r="B255" s="182" t="s">
        <v>315</v>
      </c>
      <c r="C255" s="175" t="s">
        <v>402</v>
      </c>
      <c r="D255" s="70">
        <f t="shared" ref="D255:S255" si="57">IFERROR(D248/D233,0)</f>
        <v>38735.5</v>
      </c>
      <c r="E255" s="70">
        <f t="shared" si="57"/>
        <v>38735.5</v>
      </c>
      <c r="F255" s="70">
        <f t="shared" si="57"/>
        <v>38735.5</v>
      </c>
      <c r="G255" s="70">
        <f t="shared" si="57"/>
        <v>38735.5</v>
      </c>
      <c r="H255" s="70">
        <f t="shared" si="57"/>
        <v>38735.5</v>
      </c>
      <c r="I255" s="70">
        <f t="shared" si="57"/>
        <v>38735.5</v>
      </c>
      <c r="J255" s="70">
        <f t="shared" si="57"/>
        <v>38735.5</v>
      </c>
      <c r="K255" s="70">
        <f t="shared" si="57"/>
        <v>38735.5</v>
      </c>
      <c r="L255" s="70">
        <f t="shared" si="57"/>
        <v>38735.5</v>
      </c>
      <c r="M255" s="70">
        <f t="shared" si="57"/>
        <v>38735.5</v>
      </c>
      <c r="N255" s="70">
        <f t="shared" si="57"/>
        <v>38735.5</v>
      </c>
      <c r="O255" s="70">
        <f t="shared" si="57"/>
        <v>38735.5</v>
      </c>
      <c r="P255" s="70">
        <f t="shared" si="57"/>
        <v>38735.5</v>
      </c>
      <c r="Q255" s="70">
        <f t="shared" si="57"/>
        <v>38735.5</v>
      </c>
      <c r="R255" s="70">
        <f t="shared" si="57"/>
        <v>38735.5</v>
      </c>
      <c r="S255" s="188">
        <f t="shared" si="57"/>
        <v>38735.5</v>
      </c>
      <c r="T255" s="145"/>
    </row>
    <row r="256" spans="1:20">
      <c r="B256" s="354" t="s">
        <v>419</v>
      </c>
      <c r="C256" s="175"/>
      <c r="D256" s="70"/>
      <c r="E256" s="347"/>
      <c r="F256" s="347"/>
      <c r="G256" s="347"/>
      <c r="H256" s="347"/>
      <c r="I256" s="347"/>
      <c r="J256" s="347"/>
      <c r="K256" s="347"/>
      <c r="L256" s="347"/>
      <c r="M256" s="347"/>
      <c r="N256" s="347"/>
      <c r="O256" s="347"/>
      <c r="P256" s="347"/>
      <c r="Q256" s="347"/>
      <c r="R256" s="347"/>
      <c r="S256" s="349"/>
    </row>
    <row r="257" spans="1:20">
      <c r="B257" s="182" t="s">
        <v>204</v>
      </c>
      <c r="C257" s="175" t="s">
        <v>402</v>
      </c>
      <c r="D257" s="70">
        <f t="shared" ref="D257:S257" si="58">IFERROR(D250/D235,0)</f>
        <v>56133.482352941181</v>
      </c>
      <c r="E257" s="70">
        <f t="shared" si="58"/>
        <v>56133.482352941181</v>
      </c>
      <c r="F257" s="70">
        <f t="shared" si="58"/>
        <v>56133.482352941181</v>
      </c>
      <c r="G257" s="70">
        <f t="shared" si="58"/>
        <v>55516.9</v>
      </c>
      <c r="H257" s="70">
        <f t="shared" si="58"/>
        <v>55516.9</v>
      </c>
      <c r="I257" s="70">
        <f t="shared" si="58"/>
        <v>55516.9</v>
      </c>
      <c r="J257" s="70">
        <f t="shared" si="58"/>
        <v>49788.805263157905</v>
      </c>
      <c r="K257" s="70">
        <f t="shared" si="58"/>
        <v>49788.805263157905</v>
      </c>
      <c r="L257" s="70">
        <f t="shared" si="58"/>
        <v>49788.805263157905</v>
      </c>
      <c r="M257" s="70">
        <f t="shared" si="58"/>
        <v>49788.805263157905</v>
      </c>
      <c r="N257" s="70">
        <f t="shared" si="58"/>
        <v>49788.805263157905</v>
      </c>
      <c r="O257" s="70">
        <f t="shared" si="58"/>
        <v>49788.805263157905</v>
      </c>
      <c r="P257" s="70">
        <f t="shared" si="58"/>
        <v>49788.805263157905</v>
      </c>
      <c r="Q257" s="70">
        <f t="shared" si="58"/>
        <v>49788.805263157905</v>
      </c>
      <c r="R257" s="70">
        <f t="shared" si="58"/>
        <v>49788.805263157905</v>
      </c>
      <c r="S257" s="188">
        <f t="shared" si="58"/>
        <v>49788.805263157905</v>
      </c>
      <c r="T257" s="145"/>
    </row>
    <row r="258" spans="1:20">
      <c r="B258" s="182" t="s">
        <v>315</v>
      </c>
      <c r="C258" s="175" t="s">
        <v>402</v>
      </c>
      <c r="D258" s="70">
        <f t="shared" ref="D258:S258" si="59">IFERROR(D251/D243,0)</f>
        <v>0</v>
      </c>
      <c r="E258" s="70">
        <f t="shared" si="59"/>
        <v>0</v>
      </c>
      <c r="F258" s="70">
        <f t="shared" si="59"/>
        <v>0</v>
      </c>
      <c r="G258" s="70">
        <f t="shared" si="59"/>
        <v>0</v>
      </c>
      <c r="H258" s="70">
        <f t="shared" si="59"/>
        <v>0</v>
      </c>
      <c r="I258" s="70">
        <f t="shared" si="59"/>
        <v>0</v>
      </c>
      <c r="J258" s="70">
        <f t="shared" si="59"/>
        <v>0</v>
      </c>
      <c r="K258" s="70">
        <f t="shared" si="59"/>
        <v>0</v>
      </c>
      <c r="L258" s="70">
        <f t="shared" si="59"/>
        <v>0</v>
      </c>
      <c r="M258" s="70">
        <f t="shared" si="59"/>
        <v>0</v>
      </c>
      <c r="N258" s="70">
        <f t="shared" si="59"/>
        <v>0</v>
      </c>
      <c r="O258" s="70">
        <f t="shared" si="59"/>
        <v>0</v>
      </c>
      <c r="P258" s="70">
        <f t="shared" si="59"/>
        <v>0</v>
      </c>
      <c r="Q258" s="70">
        <f t="shared" si="59"/>
        <v>0</v>
      </c>
      <c r="R258" s="70">
        <f t="shared" si="59"/>
        <v>0</v>
      </c>
      <c r="S258" s="188">
        <f t="shared" si="59"/>
        <v>0</v>
      </c>
      <c r="T258" s="145"/>
    </row>
    <row r="259" spans="1:20" ht="12.75" thickBot="1">
      <c r="B259" s="184" t="s">
        <v>301</v>
      </c>
      <c r="C259" s="185" t="s">
        <v>27</v>
      </c>
      <c r="D259" s="350">
        <v>4.0476190476190474</v>
      </c>
      <c r="E259" s="350">
        <v>5.0476190476190474</v>
      </c>
      <c r="F259" s="350">
        <v>6.0476190476190474</v>
      </c>
      <c r="G259" s="350">
        <v>7.0476190476190474</v>
      </c>
      <c r="H259" s="350">
        <v>8.0476190476190474</v>
      </c>
      <c r="I259" s="350">
        <v>9.0476190476190474</v>
      </c>
      <c r="J259" s="350">
        <v>10.047619047619047</v>
      </c>
      <c r="K259" s="350">
        <v>10.238095238095237</v>
      </c>
      <c r="L259" s="350">
        <v>11.238095238095237</v>
      </c>
      <c r="M259" s="350">
        <v>6.9047619047619051</v>
      </c>
      <c r="N259" s="350">
        <v>7.9047619047619051</v>
      </c>
      <c r="O259" s="350">
        <v>8.9047619047619051</v>
      </c>
      <c r="P259" s="350">
        <v>8.3333333333333339</v>
      </c>
      <c r="Q259" s="350">
        <v>9.6190476190476186</v>
      </c>
      <c r="R259" s="350">
        <v>10.619047619047619</v>
      </c>
      <c r="S259" s="351">
        <v>10.857142857142858</v>
      </c>
      <c r="T259" s="145"/>
    </row>
    <row r="260" spans="1:20">
      <c r="C260" s="71"/>
      <c r="D260" s="344"/>
      <c r="E260" s="344"/>
      <c r="F260" s="344"/>
      <c r="G260" s="344"/>
      <c r="H260" s="344"/>
      <c r="I260" s="344"/>
      <c r="J260" s="344"/>
      <c r="K260" s="344"/>
      <c r="L260" s="344"/>
      <c r="M260" s="344"/>
      <c r="N260" s="344"/>
      <c r="O260" s="344"/>
      <c r="P260" s="344"/>
      <c r="Q260" s="344"/>
      <c r="R260" s="344"/>
      <c r="S260" s="344"/>
      <c r="T260" s="145"/>
    </row>
    <row r="261" spans="1:20" ht="12.75" thickBot="1">
      <c r="B261" s="173" t="s">
        <v>298</v>
      </c>
      <c r="C261" s="150"/>
      <c r="D261" s="179"/>
      <c r="E261" s="179"/>
      <c r="F261" s="179"/>
      <c r="G261" s="179"/>
      <c r="H261" s="179"/>
      <c r="I261" s="179"/>
      <c r="J261" s="179"/>
      <c r="K261" s="179"/>
      <c r="L261" s="179"/>
      <c r="M261" s="179"/>
      <c r="N261" s="179"/>
      <c r="O261" s="179"/>
      <c r="P261" s="179"/>
      <c r="Q261" s="179"/>
      <c r="R261" s="179"/>
      <c r="S261" s="179"/>
    </row>
    <row r="262" spans="1:20">
      <c r="B262" s="186" t="s">
        <v>214</v>
      </c>
      <c r="C262" s="181" t="s">
        <v>47</v>
      </c>
      <c r="D262" s="187"/>
      <c r="E262" s="187"/>
      <c r="F262" s="187"/>
      <c r="G262" s="187"/>
      <c r="H262" s="187"/>
      <c r="I262" s="187"/>
      <c r="J262" s="187"/>
      <c r="K262" s="187"/>
      <c r="L262" s="187"/>
      <c r="M262" s="187"/>
      <c r="N262" s="187"/>
      <c r="O262" s="187"/>
      <c r="P262" s="187"/>
      <c r="Q262" s="187"/>
      <c r="R262" s="187"/>
      <c r="S262" s="221"/>
    </row>
    <row r="263" spans="1:20">
      <c r="B263" s="182" t="s">
        <v>255</v>
      </c>
      <c r="C263" s="175" t="s">
        <v>47</v>
      </c>
      <c r="D263" s="70">
        <v>0</v>
      </c>
      <c r="E263" s="70">
        <v>0</v>
      </c>
      <c r="F263" s="70">
        <v>17</v>
      </c>
      <c r="G263" s="70">
        <v>0</v>
      </c>
      <c r="H263" s="70">
        <v>0</v>
      </c>
      <c r="I263" s="70">
        <v>2</v>
      </c>
      <c r="J263" s="70">
        <v>0</v>
      </c>
      <c r="K263" s="70">
        <v>0</v>
      </c>
      <c r="L263" s="70">
        <v>0</v>
      </c>
      <c r="M263" s="70">
        <v>0</v>
      </c>
      <c r="N263" s="70">
        <v>16</v>
      </c>
      <c r="O263" s="70">
        <v>0</v>
      </c>
      <c r="P263" s="70">
        <v>2</v>
      </c>
      <c r="Q263" s="70">
        <v>0</v>
      </c>
      <c r="R263" s="70">
        <v>3</v>
      </c>
      <c r="S263" s="188">
        <v>0</v>
      </c>
      <c r="T263" s="9"/>
    </row>
    <row r="264" spans="1:20">
      <c r="A264" s="179"/>
      <c r="B264" s="182" t="s">
        <v>316</v>
      </c>
      <c r="C264" s="175" t="s">
        <v>47</v>
      </c>
      <c r="D264" s="70">
        <v>0</v>
      </c>
      <c r="E264" s="346">
        <v>0</v>
      </c>
      <c r="F264" s="346">
        <v>17</v>
      </c>
      <c r="G264" s="346">
        <v>0</v>
      </c>
      <c r="H264" s="346">
        <v>0</v>
      </c>
      <c r="I264" s="346">
        <v>2</v>
      </c>
      <c r="J264" s="346">
        <v>0</v>
      </c>
      <c r="K264" s="346">
        <v>0</v>
      </c>
      <c r="L264" s="346">
        <v>0</v>
      </c>
      <c r="M264" s="346">
        <v>0</v>
      </c>
      <c r="N264" s="346">
        <v>16</v>
      </c>
      <c r="O264" s="346">
        <v>0</v>
      </c>
      <c r="P264" s="346">
        <v>2</v>
      </c>
      <c r="Q264" s="346">
        <v>0</v>
      </c>
      <c r="R264" s="346">
        <v>3</v>
      </c>
      <c r="S264" s="348">
        <v>0</v>
      </c>
      <c r="T264" s="216"/>
    </row>
    <row r="265" spans="1:20" ht="12.75" thickBot="1">
      <c r="B265" s="190" t="s">
        <v>262</v>
      </c>
      <c r="C265" s="189" t="s">
        <v>47</v>
      </c>
      <c r="D265" s="352">
        <f>D266+D278+D276</f>
        <v>21</v>
      </c>
      <c r="E265" s="352">
        <f t="shared" ref="E265:S265" si="60">E266+E278+E276</f>
        <v>21</v>
      </c>
      <c r="F265" s="352">
        <f t="shared" si="60"/>
        <v>21</v>
      </c>
      <c r="G265" s="352">
        <f t="shared" si="60"/>
        <v>21</v>
      </c>
      <c r="H265" s="352">
        <f t="shared" si="60"/>
        <v>21</v>
      </c>
      <c r="I265" s="352">
        <f t="shared" si="60"/>
        <v>21</v>
      </c>
      <c r="J265" s="352">
        <f t="shared" si="60"/>
        <v>21</v>
      </c>
      <c r="K265" s="352">
        <f t="shared" si="60"/>
        <v>21</v>
      </c>
      <c r="L265" s="352">
        <f t="shared" si="60"/>
        <v>21</v>
      </c>
      <c r="M265" s="352">
        <f t="shared" si="60"/>
        <v>21</v>
      </c>
      <c r="N265" s="352">
        <f t="shared" si="60"/>
        <v>21</v>
      </c>
      <c r="O265" s="352">
        <f t="shared" si="60"/>
        <v>21</v>
      </c>
      <c r="P265" s="352">
        <f t="shared" si="60"/>
        <v>21</v>
      </c>
      <c r="Q265" s="352">
        <f t="shared" si="60"/>
        <v>21</v>
      </c>
      <c r="R265" s="352">
        <f t="shared" si="60"/>
        <v>21</v>
      </c>
      <c r="S265" s="353">
        <f t="shared" si="60"/>
        <v>21</v>
      </c>
      <c r="T265" s="217"/>
    </row>
    <row r="266" spans="1:20">
      <c r="B266" s="354" t="s">
        <v>420</v>
      </c>
      <c r="C266" s="181"/>
      <c r="D266" s="191">
        <f>D267</f>
        <v>16</v>
      </c>
      <c r="E266" s="191">
        <f t="shared" ref="E266:S266" si="61">E267</f>
        <v>16</v>
      </c>
      <c r="F266" s="191">
        <f t="shared" si="61"/>
        <v>16</v>
      </c>
      <c r="G266" s="191">
        <f t="shared" si="61"/>
        <v>16</v>
      </c>
      <c r="H266" s="191">
        <f t="shared" si="61"/>
        <v>16</v>
      </c>
      <c r="I266" s="191">
        <f t="shared" si="61"/>
        <v>16</v>
      </c>
      <c r="J266" s="191">
        <f t="shared" si="61"/>
        <v>16</v>
      </c>
      <c r="K266" s="191">
        <f t="shared" si="61"/>
        <v>16</v>
      </c>
      <c r="L266" s="191">
        <f t="shared" si="61"/>
        <v>16</v>
      </c>
      <c r="M266" s="191">
        <f t="shared" si="61"/>
        <v>16</v>
      </c>
      <c r="N266" s="191">
        <f t="shared" si="61"/>
        <v>16</v>
      </c>
      <c r="O266" s="191">
        <f t="shared" si="61"/>
        <v>16</v>
      </c>
      <c r="P266" s="191">
        <f t="shared" si="61"/>
        <v>16</v>
      </c>
      <c r="Q266" s="191">
        <f t="shared" si="61"/>
        <v>16</v>
      </c>
      <c r="R266" s="191">
        <f t="shared" si="61"/>
        <v>16</v>
      </c>
      <c r="S266" s="496">
        <f t="shared" si="61"/>
        <v>16</v>
      </c>
      <c r="T266" s="217"/>
    </row>
    <row r="267" spans="1:20">
      <c r="A267" s="35"/>
      <c r="B267" s="343" t="s">
        <v>314</v>
      </c>
      <c r="C267" s="175" t="s">
        <v>47</v>
      </c>
      <c r="D267" s="329">
        <f>SUM(D268:D275)</f>
        <v>16</v>
      </c>
      <c r="E267" s="329">
        <f t="shared" ref="E267:S267" si="62">SUM(E268:E275)</f>
        <v>16</v>
      </c>
      <c r="F267" s="329">
        <f t="shared" si="62"/>
        <v>16</v>
      </c>
      <c r="G267" s="329">
        <f t="shared" si="62"/>
        <v>16</v>
      </c>
      <c r="H267" s="329">
        <f t="shared" si="62"/>
        <v>16</v>
      </c>
      <c r="I267" s="329">
        <f t="shared" si="62"/>
        <v>16</v>
      </c>
      <c r="J267" s="329">
        <f t="shared" si="62"/>
        <v>16</v>
      </c>
      <c r="K267" s="329">
        <f t="shared" si="62"/>
        <v>16</v>
      </c>
      <c r="L267" s="329">
        <f t="shared" si="62"/>
        <v>16</v>
      </c>
      <c r="M267" s="329">
        <f t="shared" si="62"/>
        <v>16</v>
      </c>
      <c r="N267" s="329">
        <f t="shared" si="62"/>
        <v>16</v>
      </c>
      <c r="O267" s="329">
        <f t="shared" si="62"/>
        <v>16</v>
      </c>
      <c r="P267" s="329">
        <f t="shared" si="62"/>
        <v>16</v>
      </c>
      <c r="Q267" s="329">
        <f t="shared" si="62"/>
        <v>16</v>
      </c>
      <c r="R267" s="329">
        <f t="shared" si="62"/>
        <v>16</v>
      </c>
      <c r="S267" s="334">
        <f t="shared" si="62"/>
        <v>16</v>
      </c>
      <c r="T267" s="218"/>
    </row>
    <row r="268" spans="1:20">
      <c r="A268" s="35"/>
      <c r="B268" s="182" t="s">
        <v>361</v>
      </c>
      <c r="C268" s="175" t="s">
        <v>47</v>
      </c>
      <c r="D268" s="178"/>
      <c r="E268" s="178"/>
      <c r="F268" s="178"/>
      <c r="G268" s="178"/>
      <c r="H268" s="178"/>
      <c r="I268" s="178"/>
      <c r="J268" s="178"/>
      <c r="K268" s="178"/>
      <c r="L268" s="178"/>
      <c r="M268" s="178"/>
      <c r="N268" s="178"/>
      <c r="O268" s="178"/>
      <c r="P268" s="178"/>
      <c r="Q268" s="178"/>
      <c r="R268" s="178"/>
      <c r="S268" s="183"/>
      <c r="T268" s="217"/>
    </row>
    <row r="269" spans="1:20">
      <c r="A269" s="35"/>
      <c r="B269" s="182" t="s">
        <v>362</v>
      </c>
      <c r="C269" s="175" t="s">
        <v>47</v>
      </c>
      <c r="D269" s="178"/>
      <c r="E269" s="178"/>
      <c r="F269" s="178"/>
      <c r="G269" s="178"/>
      <c r="H269" s="178"/>
      <c r="I269" s="178"/>
      <c r="J269" s="178"/>
      <c r="K269" s="178"/>
      <c r="L269" s="178"/>
      <c r="M269" s="178"/>
      <c r="N269" s="178"/>
      <c r="O269" s="178"/>
      <c r="P269" s="178"/>
      <c r="Q269" s="178"/>
      <c r="R269" s="178"/>
      <c r="S269" s="183"/>
      <c r="T269" s="218"/>
    </row>
    <row r="270" spans="1:20">
      <c r="A270" s="35"/>
      <c r="B270" s="182" t="s">
        <v>363</v>
      </c>
      <c r="C270" s="175" t="s">
        <v>47</v>
      </c>
      <c r="D270" s="178"/>
      <c r="E270" s="178"/>
      <c r="F270" s="178"/>
      <c r="G270" s="178"/>
      <c r="H270" s="178"/>
      <c r="I270" s="178"/>
      <c r="J270" s="178"/>
      <c r="K270" s="178"/>
      <c r="L270" s="178"/>
      <c r="M270" s="178"/>
      <c r="N270" s="178"/>
      <c r="O270" s="178"/>
      <c r="P270" s="178"/>
      <c r="Q270" s="178"/>
      <c r="R270" s="178"/>
      <c r="S270" s="183"/>
      <c r="T270" s="218"/>
    </row>
    <row r="271" spans="1:20">
      <c r="A271" s="35"/>
      <c r="B271" s="182" t="s">
        <v>364</v>
      </c>
      <c r="C271" s="175" t="s">
        <v>47</v>
      </c>
      <c r="D271" s="178"/>
      <c r="E271" s="178"/>
      <c r="F271" s="178"/>
      <c r="G271" s="178"/>
      <c r="H271" s="178"/>
      <c r="I271" s="178"/>
      <c r="J271" s="178"/>
      <c r="K271" s="178"/>
      <c r="L271" s="178"/>
      <c r="M271" s="178"/>
      <c r="N271" s="178"/>
      <c r="O271" s="178"/>
      <c r="P271" s="178"/>
      <c r="Q271" s="178"/>
      <c r="R271" s="178"/>
      <c r="S271" s="183"/>
      <c r="T271" s="218"/>
    </row>
    <row r="272" spans="1:20">
      <c r="A272" s="35"/>
      <c r="B272" s="182" t="s">
        <v>365</v>
      </c>
      <c r="C272" s="175" t="s">
        <v>47</v>
      </c>
      <c r="D272" s="178">
        <v>2</v>
      </c>
      <c r="E272" s="178">
        <v>2</v>
      </c>
      <c r="F272" s="178">
        <v>2</v>
      </c>
      <c r="G272" s="178">
        <v>2</v>
      </c>
      <c r="H272" s="178">
        <v>2</v>
      </c>
      <c r="I272" s="178">
        <v>2</v>
      </c>
      <c r="J272" s="178">
        <v>0</v>
      </c>
      <c r="K272" s="178">
        <v>0</v>
      </c>
      <c r="L272" s="178">
        <v>0</v>
      </c>
      <c r="M272" s="178">
        <v>0</v>
      </c>
      <c r="N272" s="178">
        <v>0</v>
      </c>
      <c r="O272" s="178">
        <v>0</v>
      </c>
      <c r="P272" s="178">
        <v>0</v>
      </c>
      <c r="Q272" s="178">
        <v>0</v>
      </c>
      <c r="R272" s="178">
        <v>0</v>
      </c>
      <c r="S272" s="183">
        <v>0</v>
      </c>
      <c r="T272" s="218"/>
    </row>
    <row r="273" spans="1:20">
      <c r="A273" s="35"/>
      <c r="B273" s="182" t="s">
        <v>367</v>
      </c>
      <c r="C273" s="175" t="s">
        <v>47</v>
      </c>
      <c r="D273" s="178">
        <v>14</v>
      </c>
      <c r="E273" s="178">
        <v>14</v>
      </c>
      <c r="F273" s="178">
        <v>14</v>
      </c>
      <c r="G273" s="178">
        <v>14</v>
      </c>
      <c r="H273" s="178">
        <v>14</v>
      </c>
      <c r="I273" s="178">
        <v>14</v>
      </c>
      <c r="J273" s="178">
        <v>16</v>
      </c>
      <c r="K273" s="178">
        <v>16</v>
      </c>
      <c r="L273" s="178">
        <v>16</v>
      </c>
      <c r="M273" s="178">
        <v>16</v>
      </c>
      <c r="N273" s="178">
        <v>16</v>
      </c>
      <c r="O273" s="178">
        <v>16</v>
      </c>
      <c r="P273" s="178">
        <v>16</v>
      </c>
      <c r="Q273" s="178">
        <v>16</v>
      </c>
      <c r="R273" s="178">
        <v>16</v>
      </c>
      <c r="S273" s="183">
        <v>16</v>
      </c>
      <c r="T273" s="218"/>
    </row>
    <row r="274" spans="1:20">
      <c r="A274" s="35"/>
      <c r="B274" s="190" t="s">
        <v>391</v>
      </c>
      <c r="C274" s="175" t="s">
        <v>47</v>
      </c>
      <c r="D274" s="414"/>
      <c r="E274" s="414"/>
      <c r="F274" s="414"/>
      <c r="G274" s="414"/>
      <c r="H274" s="414"/>
      <c r="I274" s="414"/>
      <c r="J274" s="414"/>
      <c r="K274" s="414"/>
      <c r="L274" s="414"/>
      <c r="M274" s="414"/>
      <c r="N274" s="414"/>
      <c r="O274" s="414"/>
      <c r="P274" s="414"/>
      <c r="Q274" s="414"/>
      <c r="R274" s="414"/>
      <c r="S274" s="415"/>
      <c r="T274" s="218"/>
    </row>
    <row r="275" spans="1:20" ht="12.75" thickBot="1">
      <c r="A275" s="35"/>
      <c r="B275" s="190" t="s">
        <v>392</v>
      </c>
      <c r="C275" s="175" t="s">
        <v>47</v>
      </c>
      <c r="D275" s="414"/>
      <c r="E275" s="414"/>
      <c r="F275" s="414"/>
      <c r="G275" s="414"/>
      <c r="H275" s="414"/>
      <c r="I275" s="414"/>
      <c r="J275" s="414"/>
      <c r="K275" s="414"/>
      <c r="L275" s="414"/>
      <c r="M275" s="414"/>
      <c r="N275" s="414"/>
      <c r="O275" s="414"/>
      <c r="P275" s="414"/>
      <c r="Q275" s="414"/>
      <c r="R275" s="414"/>
      <c r="S275" s="415"/>
      <c r="T275" s="218"/>
    </row>
    <row r="276" spans="1:20">
      <c r="A276" s="35"/>
      <c r="B276" s="354" t="s">
        <v>418</v>
      </c>
      <c r="C276" s="189"/>
      <c r="D276" s="352">
        <f>D277</f>
        <v>2</v>
      </c>
      <c r="E276" s="352">
        <f t="shared" ref="E276:S276" si="63">E277</f>
        <v>2</v>
      </c>
      <c r="F276" s="352">
        <f t="shared" si="63"/>
        <v>2</v>
      </c>
      <c r="G276" s="352">
        <f t="shared" si="63"/>
        <v>2</v>
      </c>
      <c r="H276" s="352">
        <f t="shared" si="63"/>
        <v>2</v>
      </c>
      <c r="I276" s="352">
        <f t="shared" si="63"/>
        <v>2</v>
      </c>
      <c r="J276" s="352">
        <f t="shared" si="63"/>
        <v>2</v>
      </c>
      <c r="K276" s="352">
        <f t="shared" si="63"/>
        <v>2</v>
      </c>
      <c r="L276" s="352">
        <f t="shared" si="63"/>
        <v>2</v>
      </c>
      <c r="M276" s="352">
        <f t="shared" si="63"/>
        <v>2</v>
      </c>
      <c r="N276" s="352">
        <f t="shared" si="63"/>
        <v>2</v>
      </c>
      <c r="O276" s="352">
        <f t="shared" si="63"/>
        <v>2</v>
      </c>
      <c r="P276" s="352">
        <f t="shared" si="63"/>
        <v>2</v>
      </c>
      <c r="Q276" s="352">
        <f t="shared" si="63"/>
        <v>2</v>
      </c>
      <c r="R276" s="352">
        <f t="shared" si="63"/>
        <v>2</v>
      </c>
      <c r="S276" s="353">
        <f t="shared" si="63"/>
        <v>2</v>
      </c>
      <c r="T276" s="218"/>
    </row>
    <row r="277" spans="1:20" ht="12.75" thickBot="1">
      <c r="A277" s="35"/>
      <c r="B277" s="355" t="s">
        <v>313</v>
      </c>
      <c r="C277" s="185" t="s">
        <v>47</v>
      </c>
      <c r="D277" s="472">
        <v>2</v>
      </c>
      <c r="E277" s="356">
        <v>2</v>
      </c>
      <c r="F277" s="356">
        <v>2</v>
      </c>
      <c r="G277" s="356">
        <v>2</v>
      </c>
      <c r="H277" s="356">
        <v>2</v>
      </c>
      <c r="I277" s="356">
        <v>2</v>
      </c>
      <c r="J277" s="356">
        <v>2</v>
      </c>
      <c r="K277" s="356">
        <v>2</v>
      </c>
      <c r="L277" s="356">
        <v>2</v>
      </c>
      <c r="M277" s="356">
        <v>2</v>
      </c>
      <c r="N277" s="356">
        <v>2</v>
      </c>
      <c r="O277" s="356">
        <v>2</v>
      </c>
      <c r="P277" s="356">
        <v>2</v>
      </c>
      <c r="Q277" s="356">
        <v>2</v>
      </c>
      <c r="R277" s="356">
        <v>2</v>
      </c>
      <c r="S277" s="357">
        <v>2</v>
      </c>
      <c r="T277" s="218"/>
    </row>
    <row r="278" spans="1:20">
      <c r="B278" s="354" t="s">
        <v>419</v>
      </c>
      <c r="C278" s="181"/>
      <c r="D278" s="191">
        <f>D279+D287</f>
        <v>3</v>
      </c>
      <c r="E278" s="191">
        <f t="shared" ref="E278:S278" si="64">E279+E287</f>
        <v>3</v>
      </c>
      <c r="F278" s="191">
        <f t="shared" si="64"/>
        <v>3</v>
      </c>
      <c r="G278" s="191">
        <f t="shared" si="64"/>
        <v>3</v>
      </c>
      <c r="H278" s="191">
        <f t="shared" si="64"/>
        <v>3</v>
      </c>
      <c r="I278" s="191">
        <f t="shared" si="64"/>
        <v>3</v>
      </c>
      <c r="J278" s="191">
        <f t="shared" si="64"/>
        <v>3</v>
      </c>
      <c r="K278" s="191">
        <f t="shared" si="64"/>
        <v>3</v>
      </c>
      <c r="L278" s="191">
        <f t="shared" si="64"/>
        <v>3</v>
      </c>
      <c r="M278" s="191">
        <f t="shared" si="64"/>
        <v>3</v>
      </c>
      <c r="N278" s="191">
        <f t="shared" si="64"/>
        <v>3</v>
      </c>
      <c r="O278" s="191">
        <f t="shared" si="64"/>
        <v>3</v>
      </c>
      <c r="P278" s="191">
        <f t="shared" si="64"/>
        <v>3</v>
      </c>
      <c r="Q278" s="191">
        <f t="shared" si="64"/>
        <v>3</v>
      </c>
      <c r="R278" s="191">
        <f t="shared" si="64"/>
        <v>3</v>
      </c>
      <c r="S278" s="496">
        <f t="shared" si="64"/>
        <v>3</v>
      </c>
      <c r="T278" s="217"/>
    </row>
    <row r="279" spans="1:20">
      <c r="A279" s="35"/>
      <c r="B279" s="343" t="s">
        <v>314</v>
      </c>
      <c r="C279" s="175" t="s">
        <v>47</v>
      </c>
      <c r="D279" s="329">
        <f>SUM(D280:D286)</f>
        <v>3</v>
      </c>
      <c r="E279" s="329">
        <f t="shared" ref="E279:S279" si="65">SUM(E280:E286)</f>
        <v>3</v>
      </c>
      <c r="F279" s="329">
        <f t="shared" si="65"/>
        <v>3</v>
      </c>
      <c r="G279" s="329">
        <f t="shared" si="65"/>
        <v>3</v>
      </c>
      <c r="H279" s="329">
        <f t="shared" si="65"/>
        <v>3</v>
      </c>
      <c r="I279" s="329">
        <f t="shared" si="65"/>
        <v>3</v>
      </c>
      <c r="J279" s="329">
        <f t="shared" si="65"/>
        <v>3</v>
      </c>
      <c r="K279" s="329">
        <f t="shared" si="65"/>
        <v>3</v>
      </c>
      <c r="L279" s="329">
        <f t="shared" si="65"/>
        <v>3</v>
      </c>
      <c r="M279" s="329">
        <f t="shared" si="65"/>
        <v>3</v>
      </c>
      <c r="N279" s="329">
        <f t="shared" si="65"/>
        <v>3</v>
      </c>
      <c r="O279" s="329">
        <f t="shared" si="65"/>
        <v>3</v>
      </c>
      <c r="P279" s="329">
        <f t="shared" si="65"/>
        <v>3</v>
      </c>
      <c r="Q279" s="329">
        <f t="shared" si="65"/>
        <v>3</v>
      </c>
      <c r="R279" s="329">
        <f t="shared" si="65"/>
        <v>3</v>
      </c>
      <c r="S279" s="334">
        <f t="shared" si="65"/>
        <v>3</v>
      </c>
      <c r="T279" s="218"/>
    </row>
    <row r="280" spans="1:20">
      <c r="A280" s="35"/>
      <c r="B280" s="182" t="s">
        <v>361</v>
      </c>
      <c r="C280" s="175" t="s">
        <v>47</v>
      </c>
      <c r="D280" s="178"/>
      <c r="E280" s="178"/>
      <c r="F280" s="178"/>
      <c r="G280" s="178"/>
      <c r="H280" s="178"/>
      <c r="I280" s="178"/>
      <c r="J280" s="178"/>
      <c r="K280" s="178"/>
      <c r="L280" s="178"/>
      <c r="M280" s="178"/>
      <c r="N280" s="178"/>
      <c r="O280" s="178"/>
      <c r="P280" s="178"/>
      <c r="Q280" s="178"/>
      <c r="R280" s="178"/>
      <c r="S280" s="183"/>
      <c r="T280" s="217"/>
    </row>
    <row r="281" spans="1:20">
      <c r="A281" s="35"/>
      <c r="B281" s="182" t="s">
        <v>362</v>
      </c>
      <c r="C281" s="175" t="s">
        <v>47</v>
      </c>
      <c r="D281" s="178"/>
      <c r="E281" s="178"/>
      <c r="F281" s="178"/>
      <c r="G281" s="178"/>
      <c r="H281" s="178"/>
      <c r="I281" s="178"/>
      <c r="J281" s="178"/>
      <c r="K281" s="178"/>
      <c r="L281" s="178"/>
      <c r="M281" s="178"/>
      <c r="N281" s="178"/>
      <c r="O281" s="178"/>
      <c r="P281" s="178"/>
      <c r="Q281" s="178"/>
      <c r="R281" s="178"/>
      <c r="S281" s="183"/>
      <c r="T281" s="218"/>
    </row>
    <row r="282" spans="1:20">
      <c r="A282" s="35"/>
      <c r="B282" s="182" t="s">
        <v>363</v>
      </c>
      <c r="C282" s="175" t="s">
        <v>47</v>
      </c>
      <c r="D282" s="178"/>
      <c r="E282" s="178"/>
      <c r="F282" s="178"/>
      <c r="G282" s="178"/>
      <c r="H282" s="178"/>
      <c r="I282" s="178"/>
      <c r="J282" s="178"/>
      <c r="K282" s="178"/>
      <c r="L282" s="178"/>
      <c r="M282" s="178"/>
      <c r="N282" s="178"/>
      <c r="O282" s="178"/>
      <c r="P282" s="178"/>
      <c r="Q282" s="178"/>
      <c r="R282" s="178"/>
      <c r="S282" s="183"/>
      <c r="T282" s="218"/>
    </row>
    <row r="283" spans="1:20">
      <c r="A283" s="35"/>
      <c r="B283" s="182" t="s">
        <v>364</v>
      </c>
      <c r="C283" s="175" t="s">
        <v>47</v>
      </c>
      <c r="D283" s="178"/>
      <c r="E283" s="178"/>
      <c r="F283" s="178"/>
      <c r="G283" s="178"/>
      <c r="H283" s="178"/>
      <c r="I283" s="178"/>
      <c r="J283" s="178"/>
      <c r="K283" s="178"/>
      <c r="L283" s="178"/>
      <c r="M283" s="178"/>
      <c r="N283" s="178"/>
      <c r="O283" s="178"/>
      <c r="P283" s="178"/>
      <c r="Q283" s="178"/>
      <c r="R283" s="178"/>
      <c r="S283" s="183"/>
      <c r="T283" s="218"/>
    </row>
    <row r="284" spans="1:20">
      <c r="A284" s="35"/>
      <c r="B284" s="182" t="s">
        <v>365</v>
      </c>
      <c r="C284" s="175" t="s">
        <v>47</v>
      </c>
      <c r="D284" s="178"/>
      <c r="E284" s="178"/>
      <c r="F284" s="178"/>
      <c r="G284" s="178"/>
      <c r="H284" s="178"/>
      <c r="I284" s="178"/>
      <c r="J284" s="178"/>
      <c r="K284" s="178"/>
      <c r="L284" s="178"/>
      <c r="M284" s="178"/>
      <c r="N284" s="178"/>
      <c r="O284" s="178"/>
      <c r="P284" s="178"/>
      <c r="Q284" s="178"/>
      <c r="R284" s="178"/>
      <c r="S284" s="183"/>
      <c r="T284" s="218"/>
    </row>
    <row r="285" spans="1:20">
      <c r="A285" s="35"/>
      <c r="B285" s="182" t="s">
        <v>367</v>
      </c>
      <c r="C285" s="175" t="s">
        <v>47</v>
      </c>
      <c r="D285" s="178">
        <v>3</v>
      </c>
      <c r="E285" s="178">
        <v>3</v>
      </c>
      <c r="F285" s="178">
        <v>3</v>
      </c>
      <c r="G285" s="178">
        <v>3</v>
      </c>
      <c r="H285" s="178">
        <v>3</v>
      </c>
      <c r="I285" s="178">
        <v>3</v>
      </c>
      <c r="J285" s="178">
        <v>3</v>
      </c>
      <c r="K285" s="178">
        <v>3</v>
      </c>
      <c r="L285" s="178">
        <v>3</v>
      </c>
      <c r="M285" s="178">
        <v>3</v>
      </c>
      <c r="N285" s="178">
        <v>3</v>
      </c>
      <c r="O285" s="178">
        <v>3</v>
      </c>
      <c r="P285" s="178">
        <v>3</v>
      </c>
      <c r="Q285" s="178">
        <v>3</v>
      </c>
      <c r="R285" s="178">
        <v>3</v>
      </c>
      <c r="S285" s="183">
        <v>3</v>
      </c>
      <c r="T285" s="218"/>
    </row>
    <row r="286" spans="1:20">
      <c r="A286" s="35"/>
      <c r="B286" s="190" t="s">
        <v>392</v>
      </c>
      <c r="C286" s="175" t="s">
        <v>47</v>
      </c>
      <c r="D286" s="178"/>
      <c r="E286" s="414"/>
      <c r="F286" s="414"/>
      <c r="G286" s="414"/>
      <c r="H286" s="414"/>
      <c r="I286" s="414"/>
      <c r="J286" s="414"/>
      <c r="K286" s="414"/>
      <c r="L286" s="414"/>
      <c r="M286" s="414"/>
      <c r="N286" s="414"/>
      <c r="O286" s="414"/>
      <c r="P286" s="414"/>
      <c r="Q286" s="414"/>
      <c r="R286" s="414"/>
      <c r="S286" s="415"/>
      <c r="T286" s="218"/>
    </row>
    <row r="287" spans="1:20" ht="12.75" thickBot="1">
      <c r="A287" s="35"/>
      <c r="B287" s="355" t="s">
        <v>313</v>
      </c>
      <c r="C287" s="189" t="s">
        <v>47</v>
      </c>
      <c r="D287" s="352"/>
      <c r="E287" s="352"/>
      <c r="F287" s="352"/>
      <c r="G287" s="352"/>
      <c r="H287" s="352"/>
      <c r="I287" s="352"/>
      <c r="J287" s="352"/>
      <c r="K287" s="352"/>
      <c r="L287" s="352"/>
      <c r="M287" s="352"/>
      <c r="N287" s="352"/>
      <c r="O287" s="352"/>
      <c r="P287" s="352"/>
      <c r="Q287" s="352"/>
      <c r="R287" s="352"/>
      <c r="S287" s="353"/>
      <c r="T287" s="218"/>
    </row>
    <row r="288" spans="1:20" ht="12.75" thickBot="1">
      <c r="B288" s="186" t="s">
        <v>213</v>
      </c>
      <c r="C288" s="181" t="s">
        <v>119</v>
      </c>
      <c r="D288" s="377">
        <f>D289+D293+D291</f>
        <v>1033940.2</v>
      </c>
      <c r="E288" s="377">
        <f t="shared" ref="E288:S288" si="66">E289+E293+E291</f>
        <v>1023458.2999999999</v>
      </c>
      <c r="F288" s="377">
        <f t="shared" si="66"/>
        <v>1023458.2999999999</v>
      </c>
      <c r="G288" s="377">
        <f t="shared" si="66"/>
        <v>1023458.3</v>
      </c>
      <c r="H288" s="377">
        <f t="shared" si="66"/>
        <v>1023458.3</v>
      </c>
      <c r="I288" s="377">
        <f t="shared" si="66"/>
        <v>1023458.3</v>
      </c>
      <c r="J288" s="377">
        <f t="shared" si="66"/>
        <v>1023458.3</v>
      </c>
      <c r="K288" s="377">
        <f t="shared" si="66"/>
        <v>1023458.3</v>
      </c>
      <c r="L288" s="377">
        <f t="shared" si="66"/>
        <v>1023458.3</v>
      </c>
      <c r="M288" s="377">
        <f t="shared" si="66"/>
        <v>1023458.3</v>
      </c>
      <c r="N288" s="377">
        <f t="shared" si="66"/>
        <v>1023458.3</v>
      </c>
      <c r="O288" s="377">
        <f t="shared" si="66"/>
        <v>1023458.3</v>
      </c>
      <c r="P288" s="377">
        <f t="shared" si="66"/>
        <v>1023458.3</v>
      </c>
      <c r="Q288" s="377">
        <f t="shared" si="66"/>
        <v>1023458.3</v>
      </c>
      <c r="R288" s="377">
        <f t="shared" si="66"/>
        <v>1023458.3</v>
      </c>
      <c r="S288" s="498">
        <f t="shared" si="66"/>
        <v>1023458.3</v>
      </c>
    </row>
    <row r="289" spans="2:20">
      <c r="B289" s="354" t="s">
        <v>420</v>
      </c>
      <c r="C289" s="175"/>
      <c r="D289" s="347">
        <f>D290</f>
        <v>788068.75294117641</v>
      </c>
      <c r="E289" s="347">
        <f t="shared" ref="E289:S289" si="67">E290</f>
        <v>777586.85294117639</v>
      </c>
      <c r="F289" s="347">
        <f t="shared" si="67"/>
        <v>777586.85294117639</v>
      </c>
      <c r="G289" s="347">
        <f t="shared" si="67"/>
        <v>779436.6</v>
      </c>
      <c r="H289" s="347">
        <f t="shared" si="67"/>
        <v>779436.6</v>
      </c>
      <c r="I289" s="347">
        <f t="shared" si="67"/>
        <v>779436.6</v>
      </c>
      <c r="J289" s="347">
        <f t="shared" si="67"/>
        <v>796620.88421052636</v>
      </c>
      <c r="K289" s="347">
        <f t="shared" si="67"/>
        <v>796620.88421052636</v>
      </c>
      <c r="L289" s="347">
        <f t="shared" si="67"/>
        <v>796620.88421052636</v>
      </c>
      <c r="M289" s="347">
        <f t="shared" si="67"/>
        <v>796620.88421052636</v>
      </c>
      <c r="N289" s="347">
        <f t="shared" si="67"/>
        <v>796620.88421052636</v>
      </c>
      <c r="O289" s="347">
        <f t="shared" si="67"/>
        <v>796620.88421052636</v>
      </c>
      <c r="P289" s="347">
        <f t="shared" si="67"/>
        <v>796620.88421052636</v>
      </c>
      <c r="Q289" s="347">
        <f t="shared" si="67"/>
        <v>796620.88421052636</v>
      </c>
      <c r="R289" s="347">
        <f t="shared" si="67"/>
        <v>796620.88421052636</v>
      </c>
      <c r="S289" s="349">
        <f t="shared" si="67"/>
        <v>796620.88421052636</v>
      </c>
    </row>
    <row r="290" spans="2:20" ht="12.75" thickBot="1">
      <c r="B290" s="182" t="s">
        <v>204</v>
      </c>
      <c r="C290" s="175" t="s">
        <v>119</v>
      </c>
      <c r="D290" s="70">
        <v>788068.75294117641</v>
      </c>
      <c r="E290" s="70">
        <v>777586.85294117639</v>
      </c>
      <c r="F290" s="70">
        <v>777586.85294117639</v>
      </c>
      <c r="G290" s="70">
        <v>779436.6</v>
      </c>
      <c r="H290" s="70">
        <v>779436.6</v>
      </c>
      <c r="I290" s="70">
        <v>779436.6</v>
      </c>
      <c r="J290" s="70">
        <v>796620.88421052636</v>
      </c>
      <c r="K290" s="70">
        <v>796620.88421052636</v>
      </c>
      <c r="L290" s="70">
        <v>796620.88421052636</v>
      </c>
      <c r="M290" s="70">
        <v>796620.88421052636</v>
      </c>
      <c r="N290" s="70">
        <v>796620.88421052636</v>
      </c>
      <c r="O290" s="70">
        <v>796620.88421052636</v>
      </c>
      <c r="P290" s="70">
        <v>796620.88421052636</v>
      </c>
      <c r="Q290" s="70">
        <v>796620.88421052636</v>
      </c>
      <c r="R290" s="70">
        <v>796620.88421052636</v>
      </c>
      <c r="S290" s="188">
        <v>796620.88421052636</v>
      </c>
      <c r="T290" s="145"/>
    </row>
    <row r="291" spans="2:20">
      <c r="B291" s="354" t="s">
        <v>418</v>
      </c>
      <c r="C291" s="175"/>
      <c r="D291" s="347">
        <f>D292</f>
        <v>77471</v>
      </c>
      <c r="E291" s="347">
        <f t="shared" ref="E291:S291" si="68">E292</f>
        <v>77471</v>
      </c>
      <c r="F291" s="347">
        <f t="shared" si="68"/>
        <v>77471</v>
      </c>
      <c r="G291" s="347">
        <f t="shared" si="68"/>
        <v>77471</v>
      </c>
      <c r="H291" s="347">
        <f t="shared" si="68"/>
        <v>77471</v>
      </c>
      <c r="I291" s="347">
        <f t="shared" si="68"/>
        <v>77471</v>
      </c>
      <c r="J291" s="347">
        <f t="shared" si="68"/>
        <v>77471</v>
      </c>
      <c r="K291" s="347">
        <f t="shared" si="68"/>
        <v>77471</v>
      </c>
      <c r="L291" s="347">
        <f t="shared" si="68"/>
        <v>77471</v>
      </c>
      <c r="M291" s="347">
        <f t="shared" si="68"/>
        <v>77471</v>
      </c>
      <c r="N291" s="347">
        <f t="shared" si="68"/>
        <v>77471</v>
      </c>
      <c r="O291" s="347">
        <f t="shared" si="68"/>
        <v>77471</v>
      </c>
      <c r="P291" s="347">
        <f t="shared" si="68"/>
        <v>77471</v>
      </c>
      <c r="Q291" s="347">
        <f t="shared" si="68"/>
        <v>77471</v>
      </c>
      <c r="R291" s="347">
        <f t="shared" si="68"/>
        <v>77471</v>
      </c>
      <c r="S291" s="349">
        <f t="shared" si="68"/>
        <v>77471</v>
      </c>
      <c r="T291" s="145"/>
    </row>
    <row r="292" spans="2:20" ht="12.75" thickBot="1">
      <c r="B292" s="182" t="s">
        <v>313</v>
      </c>
      <c r="C292" s="175" t="s">
        <v>119</v>
      </c>
      <c r="D292" s="70">
        <v>77471</v>
      </c>
      <c r="E292" s="70">
        <v>77471</v>
      </c>
      <c r="F292" s="70">
        <v>77471</v>
      </c>
      <c r="G292" s="70">
        <v>77471</v>
      </c>
      <c r="H292" s="70">
        <v>77471</v>
      </c>
      <c r="I292" s="70">
        <v>77471</v>
      </c>
      <c r="J292" s="70">
        <v>77471</v>
      </c>
      <c r="K292" s="70">
        <v>77471</v>
      </c>
      <c r="L292" s="70">
        <v>77471</v>
      </c>
      <c r="M292" s="70">
        <v>77471</v>
      </c>
      <c r="N292" s="70">
        <v>77471</v>
      </c>
      <c r="O292" s="70">
        <v>77471</v>
      </c>
      <c r="P292" s="70">
        <v>77471</v>
      </c>
      <c r="Q292" s="70">
        <v>77471</v>
      </c>
      <c r="R292" s="70">
        <v>77471</v>
      </c>
      <c r="S292" s="188">
        <v>77471</v>
      </c>
      <c r="T292" s="145"/>
    </row>
    <row r="293" spans="2:20">
      <c r="B293" s="354" t="s">
        <v>419</v>
      </c>
      <c r="C293" s="175"/>
      <c r="D293" s="347">
        <f>D294+D295</f>
        <v>168400.44705882354</v>
      </c>
      <c r="E293" s="347">
        <f t="shared" ref="E293:S293" si="69">E294+E295</f>
        <v>168400.44705882354</v>
      </c>
      <c r="F293" s="347">
        <f t="shared" si="69"/>
        <v>168400.44705882354</v>
      </c>
      <c r="G293" s="347">
        <f t="shared" si="69"/>
        <v>166550.70000000001</v>
      </c>
      <c r="H293" s="347">
        <f t="shared" si="69"/>
        <v>166550.70000000001</v>
      </c>
      <c r="I293" s="347">
        <f t="shared" si="69"/>
        <v>166550.70000000001</v>
      </c>
      <c r="J293" s="347">
        <f t="shared" si="69"/>
        <v>149366.41578947371</v>
      </c>
      <c r="K293" s="347">
        <f t="shared" si="69"/>
        <v>149366.41578947371</v>
      </c>
      <c r="L293" s="347">
        <f t="shared" si="69"/>
        <v>149366.41578947371</v>
      </c>
      <c r="M293" s="347">
        <f t="shared" si="69"/>
        <v>149366.41578947371</v>
      </c>
      <c r="N293" s="347">
        <f t="shared" si="69"/>
        <v>149366.41578947371</v>
      </c>
      <c r="O293" s="347">
        <f t="shared" si="69"/>
        <v>149366.41578947371</v>
      </c>
      <c r="P293" s="347">
        <f t="shared" si="69"/>
        <v>149366.41578947371</v>
      </c>
      <c r="Q293" s="347">
        <f t="shared" si="69"/>
        <v>149366.41578947371</v>
      </c>
      <c r="R293" s="347">
        <f t="shared" si="69"/>
        <v>149366.41578947371</v>
      </c>
      <c r="S293" s="349">
        <f t="shared" si="69"/>
        <v>149366.41578947371</v>
      </c>
    </row>
    <row r="294" spans="2:20">
      <c r="B294" s="182" t="s">
        <v>204</v>
      </c>
      <c r="C294" s="175" t="s">
        <v>119</v>
      </c>
      <c r="D294" s="70">
        <v>168400.44705882354</v>
      </c>
      <c r="E294" s="70">
        <v>168400.44705882354</v>
      </c>
      <c r="F294" s="70">
        <v>168400.44705882354</v>
      </c>
      <c r="G294" s="70">
        <v>166550.70000000001</v>
      </c>
      <c r="H294" s="70">
        <v>166550.70000000001</v>
      </c>
      <c r="I294" s="70">
        <v>166550.70000000001</v>
      </c>
      <c r="J294" s="70">
        <v>149366.41578947371</v>
      </c>
      <c r="K294" s="70">
        <v>149366.41578947371</v>
      </c>
      <c r="L294" s="70">
        <v>149366.41578947371</v>
      </c>
      <c r="M294" s="70">
        <v>149366.41578947371</v>
      </c>
      <c r="N294" s="70">
        <v>149366.41578947371</v>
      </c>
      <c r="O294" s="70">
        <v>149366.41578947371</v>
      </c>
      <c r="P294" s="70">
        <v>149366.41578947371</v>
      </c>
      <c r="Q294" s="70">
        <v>149366.41578947371</v>
      </c>
      <c r="R294" s="70">
        <v>149366.41578947371</v>
      </c>
      <c r="S294" s="188">
        <v>149366.41578947371</v>
      </c>
      <c r="T294" s="145"/>
    </row>
    <row r="295" spans="2:20" ht="12.75" thickBot="1">
      <c r="B295" s="182" t="s">
        <v>313</v>
      </c>
      <c r="C295" s="175" t="s">
        <v>119</v>
      </c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188"/>
      <c r="T295" s="145"/>
    </row>
    <row r="296" spans="2:20">
      <c r="B296" s="354" t="s">
        <v>420</v>
      </c>
      <c r="C296" s="175"/>
      <c r="D296" s="70"/>
      <c r="E296" s="347"/>
      <c r="F296" s="347"/>
      <c r="G296" s="347"/>
      <c r="H296" s="347"/>
      <c r="I296" s="347"/>
      <c r="J296" s="347"/>
      <c r="K296" s="347"/>
      <c r="L296" s="347"/>
      <c r="M296" s="347"/>
      <c r="N296" s="347"/>
      <c r="O296" s="347"/>
      <c r="P296" s="347"/>
      <c r="Q296" s="347"/>
      <c r="R296" s="347"/>
      <c r="S296" s="349"/>
      <c r="T296" s="145"/>
    </row>
    <row r="297" spans="2:20" ht="12.75" thickBot="1">
      <c r="B297" s="182" t="s">
        <v>204</v>
      </c>
      <c r="C297" s="175" t="s">
        <v>402</v>
      </c>
      <c r="D297" s="70">
        <f t="shared" ref="D297:S297" si="70">IFERROR(D290/D267,0)</f>
        <v>49254.297058823526</v>
      </c>
      <c r="E297" s="70">
        <f t="shared" si="70"/>
        <v>48599.178308823524</v>
      </c>
      <c r="F297" s="70">
        <f t="shared" si="70"/>
        <v>48599.178308823524</v>
      </c>
      <c r="G297" s="70">
        <f t="shared" si="70"/>
        <v>48714.787499999999</v>
      </c>
      <c r="H297" s="70">
        <f t="shared" si="70"/>
        <v>48714.787499999999</v>
      </c>
      <c r="I297" s="70">
        <f t="shared" si="70"/>
        <v>48714.787499999999</v>
      </c>
      <c r="J297" s="70">
        <f t="shared" si="70"/>
        <v>49788.805263157898</v>
      </c>
      <c r="K297" s="70">
        <f t="shared" si="70"/>
        <v>49788.805263157898</v>
      </c>
      <c r="L297" s="70">
        <f t="shared" si="70"/>
        <v>49788.805263157898</v>
      </c>
      <c r="M297" s="70">
        <f t="shared" si="70"/>
        <v>49788.805263157898</v>
      </c>
      <c r="N297" s="70">
        <f t="shared" si="70"/>
        <v>49788.805263157898</v>
      </c>
      <c r="O297" s="70">
        <f t="shared" si="70"/>
        <v>49788.805263157898</v>
      </c>
      <c r="P297" s="70">
        <f t="shared" si="70"/>
        <v>49788.805263157898</v>
      </c>
      <c r="Q297" s="70">
        <f t="shared" si="70"/>
        <v>49788.805263157898</v>
      </c>
      <c r="R297" s="70">
        <f t="shared" si="70"/>
        <v>49788.805263157898</v>
      </c>
      <c r="S297" s="188">
        <f t="shared" si="70"/>
        <v>49788.805263157898</v>
      </c>
      <c r="T297" s="145"/>
    </row>
    <row r="298" spans="2:20">
      <c r="B298" s="354" t="s">
        <v>418</v>
      </c>
      <c r="C298" s="175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188"/>
      <c r="T298" s="145"/>
    </row>
    <row r="299" spans="2:20" ht="12.75" thickBot="1">
      <c r="B299" s="182" t="s">
        <v>315</v>
      </c>
      <c r="C299" s="175" t="s">
        <v>402</v>
      </c>
      <c r="D299" s="70">
        <f t="shared" ref="D299:S299" si="71">IFERROR(D292/D277,0)</f>
        <v>38735.5</v>
      </c>
      <c r="E299" s="70">
        <f t="shared" si="71"/>
        <v>38735.5</v>
      </c>
      <c r="F299" s="70">
        <f t="shared" si="71"/>
        <v>38735.5</v>
      </c>
      <c r="G299" s="70">
        <f t="shared" si="71"/>
        <v>38735.5</v>
      </c>
      <c r="H299" s="70">
        <f t="shared" si="71"/>
        <v>38735.5</v>
      </c>
      <c r="I299" s="70">
        <f t="shared" si="71"/>
        <v>38735.5</v>
      </c>
      <c r="J299" s="70">
        <f t="shared" si="71"/>
        <v>38735.5</v>
      </c>
      <c r="K299" s="70">
        <f t="shared" si="71"/>
        <v>38735.5</v>
      </c>
      <c r="L299" s="70">
        <f t="shared" si="71"/>
        <v>38735.5</v>
      </c>
      <c r="M299" s="70">
        <f t="shared" si="71"/>
        <v>38735.5</v>
      </c>
      <c r="N299" s="70">
        <f t="shared" si="71"/>
        <v>38735.5</v>
      </c>
      <c r="O299" s="70">
        <f t="shared" si="71"/>
        <v>38735.5</v>
      </c>
      <c r="P299" s="70">
        <f t="shared" si="71"/>
        <v>38735.5</v>
      </c>
      <c r="Q299" s="70">
        <f t="shared" si="71"/>
        <v>38735.5</v>
      </c>
      <c r="R299" s="70">
        <f t="shared" si="71"/>
        <v>38735.5</v>
      </c>
      <c r="S299" s="188">
        <f t="shared" si="71"/>
        <v>38735.5</v>
      </c>
      <c r="T299" s="145"/>
    </row>
    <row r="300" spans="2:20">
      <c r="B300" s="354" t="s">
        <v>419</v>
      </c>
      <c r="C300" s="175"/>
      <c r="D300" s="70"/>
      <c r="E300" s="347"/>
      <c r="F300" s="347"/>
      <c r="G300" s="347"/>
      <c r="H300" s="347"/>
      <c r="I300" s="347"/>
      <c r="J300" s="347"/>
      <c r="K300" s="347"/>
      <c r="L300" s="347"/>
      <c r="M300" s="347"/>
      <c r="N300" s="347"/>
      <c r="O300" s="347"/>
      <c r="P300" s="347"/>
      <c r="Q300" s="347"/>
      <c r="R300" s="347"/>
      <c r="S300" s="349"/>
      <c r="T300" s="145"/>
    </row>
    <row r="301" spans="2:20">
      <c r="B301" s="182" t="s">
        <v>204</v>
      </c>
      <c r="C301" s="175" t="s">
        <v>402</v>
      </c>
      <c r="D301" s="70">
        <f t="shared" ref="D301:S301" si="72">IFERROR(D294/D279,0)</f>
        <v>56133.482352941181</v>
      </c>
      <c r="E301" s="70">
        <f t="shared" si="72"/>
        <v>56133.482352941181</v>
      </c>
      <c r="F301" s="70">
        <f t="shared" si="72"/>
        <v>56133.482352941181</v>
      </c>
      <c r="G301" s="70">
        <f t="shared" si="72"/>
        <v>55516.9</v>
      </c>
      <c r="H301" s="70">
        <f t="shared" si="72"/>
        <v>55516.9</v>
      </c>
      <c r="I301" s="70">
        <f t="shared" si="72"/>
        <v>55516.9</v>
      </c>
      <c r="J301" s="70">
        <f t="shared" si="72"/>
        <v>49788.805263157905</v>
      </c>
      <c r="K301" s="70">
        <f t="shared" si="72"/>
        <v>49788.805263157905</v>
      </c>
      <c r="L301" s="70">
        <f t="shared" si="72"/>
        <v>49788.805263157905</v>
      </c>
      <c r="M301" s="70">
        <f t="shared" si="72"/>
        <v>49788.805263157905</v>
      </c>
      <c r="N301" s="70">
        <f t="shared" si="72"/>
        <v>49788.805263157905</v>
      </c>
      <c r="O301" s="70">
        <f t="shared" si="72"/>
        <v>49788.805263157905</v>
      </c>
      <c r="P301" s="70">
        <f t="shared" si="72"/>
        <v>49788.805263157905</v>
      </c>
      <c r="Q301" s="70">
        <f t="shared" si="72"/>
        <v>49788.805263157905</v>
      </c>
      <c r="R301" s="70">
        <f t="shared" si="72"/>
        <v>49788.805263157905</v>
      </c>
      <c r="S301" s="188">
        <f t="shared" si="72"/>
        <v>49788.805263157905</v>
      </c>
      <c r="T301" s="145"/>
    </row>
    <row r="302" spans="2:20">
      <c r="B302" s="182" t="s">
        <v>315</v>
      </c>
      <c r="C302" s="175" t="s">
        <v>402</v>
      </c>
      <c r="D302" s="70">
        <f t="shared" ref="D302:S302" si="73">IFERROR(D295/D287,0)</f>
        <v>0</v>
      </c>
      <c r="E302" s="70">
        <f t="shared" si="73"/>
        <v>0</v>
      </c>
      <c r="F302" s="70">
        <f t="shared" si="73"/>
        <v>0</v>
      </c>
      <c r="G302" s="70">
        <f t="shared" si="73"/>
        <v>0</v>
      </c>
      <c r="H302" s="70">
        <f t="shared" si="73"/>
        <v>0</v>
      </c>
      <c r="I302" s="70">
        <f t="shared" si="73"/>
        <v>0</v>
      </c>
      <c r="J302" s="70">
        <f t="shared" si="73"/>
        <v>0</v>
      </c>
      <c r="K302" s="70">
        <f t="shared" si="73"/>
        <v>0</v>
      </c>
      <c r="L302" s="70">
        <f t="shared" si="73"/>
        <v>0</v>
      </c>
      <c r="M302" s="70">
        <f t="shared" si="73"/>
        <v>0</v>
      </c>
      <c r="N302" s="70">
        <f t="shared" si="73"/>
        <v>0</v>
      </c>
      <c r="O302" s="70">
        <f t="shared" si="73"/>
        <v>0</v>
      </c>
      <c r="P302" s="70">
        <f t="shared" si="73"/>
        <v>0</v>
      </c>
      <c r="Q302" s="70">
        <f t="shared" si="73"/>
        <v>0</v>
      </c>
      <c r="R302" s="70">
        <f t="shared" si="73"/>
        <v>0</v>
      </c>
      <c r="S302" s="188">
        <f t="shared" si="73"/>
        <v>0</v>
      </c>
      <c r="T302" s="145"/>
    </row>
    <row r="303" spans="2:20" ht="12.75" thickBot="1">
      <c r="B303" s="184" t="s">
        <v>301</v>
      </c>
      <c r="C303" s="185" t="s">
        <v>27</v>
      </c>
      <c r="D303" s="350">
        <v>4.0476190476190474</v>
      </c>
      <c r="E303" s="350">
        <v>5.0476190476190474</v>
      </c>
      <c r="F303" s="350">
        <v>6.0476190476190474</v>
      </c>
      <c r="G303" s="350">
        <v>2.1904761904761907</v>
      </c>
      <c r="H303" s="350">
        <v>3.1904761904761907</v>
      </c>
      <c r="I303" s="350">
        <v>4.1904761904761907</v>
      </c>
      <c r="J303" s="350">
        <v>4.4761904761904763</v>
      </c>
      <c r="K303" s="350">
        <v>5.4761904761904763</v>
      </c>
      <c r="L303" s="350">
        <v>6.4761904761904763</v>
      </c>
      <c r="M303" s="350">
        <v>7.4761904761904763</v>
      </c>
      <c r="N303" s="350">
        <v>8.4761904761904763</v>
      </c>
      <c r="O303" s="350">
        <v>3.6666666666666665</v>
      </c>
      <c r="P303" s="350">
        <v>4.666666666666667</v>
      </c>
      <c r="Q303" s="350">
        <v>4.333333333333333</v>
      </c>
      <c r="R303" s="350">
        <v>5.333333333333333</v>
      </c>
      <c r="S303" s="351">
        <v>4.6190476190476186</v>
      </c>
      <c r="T303" s="145"/>
    </row>
    <row r="304" spans="2:20">
      <c r="B304" s="345"/>
      <c r="C304" s="71"/>
      <c r="D304" s="145"/>
      <c r="E304" s="344"/>
      <c r="F304" s="344"/>
      <c r="G304" s="344"/>
      <c r="H304" s="344"/>
      <c r="I304" s="344"/>
      <c r="J304" s="344"/>
      <c r="K304" s="344"/>
      <c r="L304" s="344"/>
      <c r="M304" s="344"/>
      <c r="N304" s="344"/>
      <c r="O304" s="344"/>
      <c r="P304" s="344"/>
      <c r="Q304" s="344"/>
      <c r="R304" s="344"/>
      <c r="S304" s="344"/>
      <c r="T304" s="145"/>
    </row>
    <row r="305" spans="1:20" ht="12.75" thickBot="1">
      <c r="B305" s="222" t="s">
        <v>403</v>
      </c>
      <c r="C305" s="150"/>
      <c r="E305" s="363"/>
      <c r="F305" s="363"/>
      <c r="G305" s="363"/>
      <c r="H305" s="363"/>
      <c r="I305" s="363"/>
      <c r="J305" s="363"/>
      <c r="K305" s="363"/>
      <c r="L305" s="363"/>
      <c r="M305" s="363"/>
      <c r="N305" s="363"/>
      <c r="O305" s="363"/>
      <c r="P305" s="363"/>
      <c r="Q305" s="363"/>
      <c r="R305" s="363"/>
      <c r="S305" s="363"/>
    </row>
    <row r="306" spans="1:20">
      <c r="B306" s="186" t="s">
        <v>214</v>
      </c>
      <c r="C306" s="181" t="s">
        <v>47</v>
      </c>
      <c r="D306" s="187"/>
      <c r="E306" s="187"/>
      <c r="F306" s="187"/>
      <c r="G306" s="187"/>
      <c r="H306" s="187"/>
      <c r="I306" s="187"/>
      <c r="J306" s="187"/>
      <c r="K306" s="187"/>
      <c r="L306" s="187"/>
      <c r="M306" s="187"/>
      <c r="N306" s="187"/>
      <c r="O306" s="187"/>
      <c r="P306" s="187"/>
      <c r="Q306" s="187"/>
      <c r="R306" s="187"/>
      <c r="S306" s="221"/>
    </row>
    <row r="307" spans="1:20">
      <c r="B307" s="182" t="s">
        <v>255</v>
      </c>
      <c r="C307" s="175" t="s">
        <v>47</v>
      </c>
      <c r="D307" s="70">
        <v>0</v>
      </c>
      <c r="E307" s="70">
        <v>0</v>
      </c>
      <c r="F307" s="70">
        <v>17</v>
      </c>
      <c r="G307" s="70">
        <v>0</v>
      </c>
      <c r="H307" s="70">
        <v>0</v>
      </c>
      <c r="I307" s="70">
        <v>2</v>
      </c>
      <c r="J307" s="70">
        <v>0</v>
      </c>
      <c r="K307" s="70">
        <v>0</v>
      </c>
      <c r="L307" s="70">
        <v>0</v>
      </c>
      <c r="M307" s="70">
        <v>0</v>
      </c>
      <c r="N307" s="70">
        <v>11</v>
      </c>
      <c r="O307" s="70">
        <v>0</v>
      </c>
      <c r="P307" s="70">
        <v>2</v>
      </c>
      <c r="Q307" s="70">
        <v>0</v>
      </c>
      <c r="R307" s="70">
        <v>3</v>
      </c>
      <c r="S307" s="188">
        <v>0</v>
      </c>
      <c r="T307" s="145"/>
    </row>
    <row r="308" spans="1:20">
      <c r="B308" s="182" t="s">
        <v>316</v>
      </c>
      <c r="C308" s="175" t="s">
        <v>47</v>
      </c>
      <c r="D308" s="70">
        <v>0</v>
      </c>
      <c r="E308" s="70">
        <v>0</v>
      </c>
      <c r="F308" s="361">
        <v>17</v>
      </c>
      <c r="G308" s="361">
        <v>0</v>
      </c>
      <c r="H308" s="361">
        <v>0</v>
      </c>
      <c r="I308" s="361">
        <v>2</v>
      </c>
      <c r="J308" s="361">
        <v>0</v>
      </c>
      <c r="K308" s="361">
        <v>0</v>
      </c>
      <c r="L308" s="361">
        <v>0</v>
      </c>
      <c r="M308" s="361">
        <v>0</v>
      </c>
      <c r="N308" s="361">
        <v>11</v>
      </c>
      <c r="O308" s="361">
        <v>0</v>
      </c>
      <c r="P308" s="361">
        <v>2</v>
      </c>
      <c r="Q308" s="361">
        <v>0</v>
      </c>
      <c r="R308" s="361">
        <v>3</v>
      </c>
      <c r="S308" s="362">
        <v>0</v>
      </c>
      <c r="T308" s="145"/>
    </row>
    <row r="309" spans="1:20" ht="12.75" thickBot="1">
      <c r="B309" s="190" t="s">
        <v>262</v>
      </c>
      <c r="C309" s="189" t="s">
        <v>47</v>
      </c>
      <c r="D309" s="352">
        <f>D310+D322+D320</f>
        <v>21</v>
      </c>
      <c r="E309" s="352">
        <f t="shared" ref="E309:S309" si="74">E310+E322+E320</f>
        <v>21</v>
      </c>
      <c r="F309" s="352">
        <f t="shared" si="74"/>
        <v>21</v>
      </c>
      <c r="G309" s="352">
        <f t="shared" si="74"/>
        <v>21</v>
      </c>
      <c r="H309" s="352">
        <f t="shared" si="74"/>
        <v>21</v>
      </c>
      <c r="I309" s="352">
        <f t="shared" si="74"/>
        <v>21</v>
      </c>
      <c r="J309" s="352">
        <f t="shared" si="74"/>
        <v>21</v>
      </c>
      <c r="K309" s="352">
        <f t="shared" si="74"/>
        <v>21</v>
      </c>
      <c r="L309" s="352">
        <f t="shared" si="74"/>
        <v>21</v>
      </c>
      <c r="M309" s="352">
        <f t="shared" si="74"/>
        <v>21</v>
      </c>
      <c r="N309" s="352">
        <f t="shared" si="74"/>
        <v>21</v>
      </c>
      <c r="O309" s="352">
        <f t="shared" si="74"/>
        <v>21</v>
      </c>
      <c r="P309" s="352">
        <f t="shared" si="74"/>
        <v>21</v>
      </c>
      <c r="Q309" s="352">
        <f t="shared" si="74"/>
        <v>21</v>
      </c>
      <c r="R309" s="352">
        <f t="shared" si="74"/>
        <v>21</v>
      </c>
      <c r="S309" s="353">
        <f t="shared" si="74"/>
        <v>21</v>
      </c>
      <c r="T309" s="217"/>
    </row>
    <row r="310" spans="1:20">
      <c r="B310" s="354" t="s">
        <v>420</v>
      </c>
      <c r="C310" s="181"/>
      <c r="D310" s="191">
        <f>D311</f>
        <v>16</v>
      </c>
      <c r="E310" s="191">
        <f t="shared" ref="E310:S310" si="75">E311</f>
        <v>16</v>
      </c>
      <c r="F310" s="191">
        <f t="shared" si="75"/>
        <v>16</v>
      </c>
      <c r="G310" s="191">
        <f t="shared" si="75"/>
        <v>11</v>
      </c>
      <c r="H310" s="191">
        <f t="shared" si="75"/>
        <v>11</v>
      </c>
      <c r="I310" s="191">
        <f t="shared" si="75"/>
        <v>11</v>
      </c>
      <c r="J310" s="191">
        <f t="shared" si="75"/>
        <v>11</v>
      </c>
      <c r="K310" s="191">
        <f t="shared" si="75"/>
        <v>11</v>
      </c>
      <c r="L310" s="191">
        <f t="shared" si="75"/>
        <v>11</v>
      </c>
      <c r="M310" s="191">
        <f t="shared" si="75"/>
        <v>11</v>
      </c>
      <c r="N310" s="191">
        <f t="shared" si="75"/>
        <v>11</v>
      </c>
      <c r="O310" s="191">
        <f t="shared" si="75"/>
        <v>11</v>
      </c>
      <c r="P310" s="191">
        <f t="shared" si="75"/>
        <v>11</v>
      </c>
      <c r="Q310" s="191">
        <f t="shared" si="75"/>
        <v>11</v>
      </c>
      <c r="R310" s="191">
        <f t="shared" si="75"/>
        <v>11</v>
      </c>
      <c r="S310" s="496">
        <f t="shared" si="75"/>
        <v>11</v>
      </c>
      <c r="T310" s="217"/>
    </row>
    <row r="311" spans="1:20">
      <c r="A311" s="35"/>
      <c r="B311" s="343" t="s">
        <v>314</v>
      </c>
      <c r="C311" s="175" t="s">
        <v>47</v>
      </c>
      <c r="D311" s="329">
        <f>SUM(D312:D319)</f>
        <v>16</v>
      </c>
      <c r="E311" s="329">
        <f t="shared" ref="E311:S311" si="76">SUM(E312:E319)</f>
        <v>16</v>
      </c>
      <c r="F311" s="329">
        <f t="shared" si="76"/>
        <v>16</v>
      </c>
      <c r="G311" s="329">
        <f t="shared" si="76"/>
        <v>11</v>
      </c>
      <c r="H311" s="329">
        <f t="shared" si="76"/>
        <v>11</v>
      </c>
      <c r="I311" s="329">
        <f t="shared" si="76"/>
        <v>11</v>
      </c>
      <c r="J311" s="329">
        <f t="shared" si="76"/>
        <v>11</v>
      </c>
      <c r="K311" s="329">
        <f t="shared" si="76"/>
        <v>11</v>
      </c>
      <c r="L311" s="329">
        <f t="shared" si="76"/>
        <v>11</v>
      </c>
      <c r="M311" s="329">
        <f t="shared" si="76"/>
        <v>11</v>
      </c>
      <c r="N311" s="329">
        <f t="shared" si="76"/>
        <v>11</v>
      </c>
      <c r="O311" s="329">
        <f t="shared" si="76"/>
        <v>11</v>
      </c>
      <c r="P311" s="329">
        <f t="shared" si="76"/>
        <v>11</v>
      </c>
      <c r="Q311" s="329">
        <f t="shared" si="76"/>
        <v>11</v>
      </c>
      <c r="R311" s="329">
        <f t="shared" si="76"/>
        <v>11</v>
      </c>
      <c r="S311" s="334">
        <f t="shared" si="76"/>
        <v>11</v>
      </c>
      <c r="T311" s="217"/>
    </row>
    <row r="312" spans="1:20">
      <c r="A312" s="35"/>
      <c r="B312" s="182" t="s">
        <v>361</v>
      </c>
      <c r="C312" s="175" t="s">
        <v>47</v>
      </c>
      <c r="D312" s="178"/>
      <c r="E312" s="178"/>
      <c r="F312" s="178"/>
      <c r="G312" s="178"/>
      <c r="H312" s="178"/>
      <c r="I312" s="178"/>
      <c r="J312" s="178"/>
      <c r="K312" s="178"/>
      <c r="L312" s="178"/>
      <c r="M312" s="178"/>
      <c r="N312" s="178"/>
      <c r="O312" s="178"/>
      <c r="P312" s="178"/>
      <c r="Q312" s="178"/>
      <c r="R312" s="178"/>
      <c r="S312" s="183"/>
      <c r="T312" s="217"/>
    </row>
    <row r="313" spans="1:20">
      <c r="A313" s="35"/>
      <c r="B313" s="182" t="s">
        <v>362</v>
      </c>
      <c r="C313" s="175" t="s">
        <v>47</v>
      </c>
      <c r="D313" s="178"/>
      <c r="E313" s="178"/>
      <c r="F313" s="178"/>
      <c r="G313" s="178"/>
      <c r="H313" s="178"/>
      <c r="I313" s="178"/>
      <c r="J313" s="178"/>
      <c r="K313" s="178"/>
      <c r="L313" s="178"/>
      <c r="M313" s="178"/>
      <c r="N313" s="178"/>
      <c r="O313" s="178"/>
      <c r="P313" s="178"/>
      <c r="Q313" s="178"/>
      <c r="R313" s="178"/>
      <c r="S313" s="183"/>
      <c r="T313" s="218"/>
    </row>
    <row r="314" spans="1:20">
      <c r="A314" s="35"/>
      <c r="B314" s="182" t="s">
        <v>363</v>
      </c>
      <c r="C314" s="175" t="s">
        <v>47</v>
      </c>
      <c r="D314" s="178"/>
      <c r="E314" s="178"/>
      <c r="F314" s="178"/>
      <c r="G314" s="178"/>
      <c r="H314" s="178"/>
      <c r="I314" s="178"/>
      <c r="J314" s="178"/>
      <c r="K314" s="178"/>
      <c r="L314" s="178"/>
      <c r="M314" s="178"/>
      <c r="N314" s="178"/>
      <c r="O314" s="178"/>
      <c r="P314" s="178"/>
      <c r="Q314" s="178"/>
      <c r="R314" s="178"/>
      <c r="S314" s="183"/>
      <c r="T314" s="218"/>
    </row>
    <row r="315" spans="1:20">
      <c r="A315" s="35"/>
      <c r="B315" s="182" t="s">
        <v>364</v>
      </c>
      <c r="C315" s="175" t="s">
        <v>47</v>
      </c>
      <c r="D315" s="178"/>
      <c r="E315" s="178"/>
      <c r="F315" s="178"/>
      <c r="G315" s="178"/>
      <c r="H315" s="178"/>
      <c r="I315" s="178"/>
      <c r="J315" s="178"/>
      <c r="K315" s="178"/>
      <c r="L315" s="178"/>
      <c r="M315" s="178"/>
      <c r="N315" s="178"/>
      <c r="O315" s="178"/>
      <c r="P315" s="178"/>
      <c r="Q315" s="178"/>
      <c r="R315" s="178"/>
      <c r="S315" s="183"/>
      <c r="T315" s="218"/>
    </row>
    <row r="316" spans="1:20">
      <c r="A316" s="35"/>
      <c r="B316" s="182" t="s">
        <v>365</v>
      </c>
      <c r="C316" s="175" t="s">
        <v>47</v>
      </c>
      <c r="D316" s="178">
        <v>2</v>
      </c>
      <c r="E316" s="178">
        <v>2</v>
      </c>
      <c r="F316" s="178">
        <v>2</v>
      </c>
      <c r="G316" s="178">
        <v>2</v>
      </c>
      <c r="H316" s="178">
        <v>2</v>
      </c>
      <c r="I316" s="178">
        <v>2</v>
      </c>
      <c r="J316" s="178">
        <v>0</v>
      </c>
      <c r="K316" s="178">
        <v>0</v>
      </c>
      <c r="L316" s="178">
        <v>0</v>
      </c>
      <c r="M316" s="178">
        <v>0</v>
      </c>
      <c r="N316" s="178">
        <v>0</v>
      </c>
      <c r="O316" s="178">
        <v>0</v>
      </c>
      <c r="P316" s="178">
        <v>0</v>
      </c>
      <c r="Q316" s="178">
        <v>0</v>
      </c>
      <c r="R316" s="178">
        <v>0</v>
      </c>
      <c r="S316" s="183">
        <v>0</v>
      </c>
      <c r="T316" s="218"/>
    </row>
    <row r="317" spans="1:20">
      <c r="A317" s="35"/>
      <c r="B317" s="182" t="s">
        <v>367</v>
      </c>
      <c r="C317" s="175" t="s">
        <v>47</v>
      </c>
      <c r="D317" s="178">
        <v>14</v>
      </c>
      <c r="E317" s="178">
        <v>14</v>
      </c>
      <c r="F317" s="178">
        <v>14</v>
      </c>
      <c r="G317" s="178">
        <v>9</v>
      </c>
      <c r="H317" s="178">
        <v>9</v>
      </c>
      <c r="I317" s="178">
        <v>9</v>
      </c>
      <c r="J317" s="178">
        <v>11</v>
      </c>
      <c r="K317" s="178">
        <v>11</v>
      </c>
      <c r="L317" s="178">
        <v>11</v>
      </c>
      <c r="M317" s="178">
        <v>11</v>
      </c>
      <c r="N317" s="178">
        <v>11</v>
      </c>
      <c r="O317" s="178">
        <v>11</v>
      </c>
      <c r="P317" s="178">
        <v>11</v>
      </c>
      <c r="Q317" s="178">
        <v>11</v>
      </c>
      <c r="R317" s="178">
        <v>11</v>
      </c>
      <c r="S317" s="183">
        <v>11</v>
      </c>
      <c r="T317" s="218"/>
    </row>
    <row r="318" spans="1:20">
      <c r="A318" s="35"/>
      <c r="B318" s="190" t="s">
        <v>391</v>
      </c>
      <c r="C318" s="175" t="s">
        <v>47</v>
      </c>
      <c r="D318" s="414"/>
      <c r="E318" s="414"/>
      <c r="F318" s="414"/>
      <c r="G318" s="414"/>
      <c r="H318" s="414"/>
      <c r="I318" s="414"/>
      <c r="J318" s="414"/>
      <c r="K318" s="414"/>
      <c r="L318" s="414"/>
      <c r="M318" s="414"/>
      <c r="N318" s="414"/>
      <c r="O318" s="414"/>
      <c r="P318" s="414"/>
      <c r="Q318" s="414"/>
      <c r="R318" s="414"/>
      <c r="S318" s="415"/>
      <c r="T318" s="218"/>
    </row>
    <row r="319" spans="1:20" ht="12.75" thickBot="1">
      <c r="A319" s="35"/>
      <c r="B319" s="182" t="s">
        <v>392</v>
      </c>
      <c r="C319" s="175" t="s">
        <v>47</v>
      </c>
      <c r="D319" s="414"/>
      <c r="E319" s="414"/>
      <c r="F319" s="414"/>
      <c r="G319" s="414"/>
      <c r="H319" s="414"/>
      <c r="I319" s="414"/>
      <c r="J319" s="414"/>
      <c r="K319" s="414"/>
      <c r="L319" s="414"/>
      <c r="M319" s="414"/>
      <c r="N319" s="414"/>
      <c r="O319" s="414"/>
      <c r="P319" s="414"/>
      <c r="Q319" s="414"/>
      <c r="R319" s="414"/>
      <c r="S319" s="415"/>
      <c r="T319" s="218"/>
    </row>
    <row r="320" spans="1:20">
      <c r="A320" s="35"/>
      <c r="B320" s="354" t="s">
        <v>418</v>
      </c>
      <c r="C320" s="189"/>
      <c r="D320" s="352">
        <f>D321</f>
        <v>2</v>
      </c>
      <c r="E320" s="352">
        <f t="shared" ref="E320:S320" si="77">E321</f>
        <v>2</v>
      </c>
      <c r="F320" s="352">
        <f t="shared" si="77"/>
        <v>2</v>
      </c>
      <c r="G320" s="352">
        <f t="shared" si="77"/>
        <v>7</v>
      </c>
      <c r="H320" s="352">
        <f t="shared" si="77"/>
        <v>7</v>
      </c>
      <c r="I320" s="352">
        <f t="shared" si="77"/>
        <v>7</v>
      </c>
      <c r="J320" s="352">
        <f t="shared" si="77"/>
        <v>7</v>
      </c>
      <c r="K320" s="352">
        <f t="shared" si="77"/>
        <v>7</v>
      </c>
      <c r="L320" s="352">
        <f t="shared" si="77"/>
        <v>7</v>
      </c>
      <c r="M320" s="352">
        <f t="shared" si="77"/>
        <v>7</v>
      </c>
      <c r="N320" s="352">
        <f t="shared" si="77"/>
        <v>7</v>
      </c>
      <c r="O320" s="352">
        <f t="shared" si="77"/>
        <v>7</v>
      </c>
      <c r="P320" s="352">
        <f t="shared" si="77"/>
        <v>7</v>
      </c>
      <c r="Q320" s="352">
        <f t="shared" si="77"/>
        <v>7</v>
      </c>
      <c r="R320" s="352">
        <f t="shared" si="77"/>
        <v>7</v>
      </c>
      <c r="S320" s="353">
        <f t="shared" si="77"/>
        <v>7</v>
      </c>
      <c r="T320" s="218"/>
    </row>
    <row r="321" spans="1:20" ht="12.75" thickBot="1">
      <c r="A321" s="35"/>
      <c r="B321" s="343" t="s">
        <v>313</v>
      </c>
      <c r="C321" s="189" t="s">
        <v>47</v>
      </c>
      <c r="D321" s="414">
        <v>2</v>
      </c>
      <c r="E321" s="414">
        <v>2</v>
      </c>
      <c r="F321" s="414">
        <v>2</v>
      </c>
      <c r="G321" s="414">
        <v>7</v>
      </c>
      <c r="H321" s="414">
        <v>7</v>
      </c>
      <c r="I321" s="414">
        <v>7</v>
      </c>
      <c r="J321" s="414">
        <v>7</v>
      </c>
      <c r="K321" s="414">
        <v>7</v>
      </c>
      <c r="L321" s="414">
        <v>7</v>
      </c>
      <c r="M321" s="414">
        <v>7</v>
      </c>
      <c r="N321" s="414">
        <v>7</v>
      </c>
      <c r="O321" s="414">
        <v>7</v>
      </c>
      <c r="P321" s="414">
        <v>7</v>
      </c>
      <c r="Q321" s="414">
        <v>7</v>
      </c>
      <c r="R321" s="414">
        <v>7</v>
      </c>
      <c r="S321" s="415">
        <v>7</v>
      </c>
      <c r="T321" s="218"/>
    </row>
    <row r="322" spans="1:20">
      <c r="B322" s="354" t="s">
        <v>419</v>
      </c>
      <c r="C322" s="181"/>
      <c r="D322" s="191">
        <f>D323+D331</f>
        <v>3</v>
      </c>
      <c r="E322" s="191">
        <f t="shared" ref="E322:S322" si="78">E323+E331</f>
        <v>3</v>
      </c>
      <c r="F322" s="191">
        <f t="shared" si="78"/>
        <v>3</v>
      </c>
      <c r="G322" s="191">
        <f t="shared" si="78"/>
        <v>3</v>
      </c>
      <c r="H322" s="191">
        <f t="shared" si="78"/>
        <v>3</v>
      </c>
      <c r="I322" s="191">
        <f t="shared" si="78"/>
        <v>3</v>
      </c>
      <c r="J322" s="191">
        <f t="shared" si="78"/>
        <v>3</v>
      </c>
      <c r="K322" s="191">
        <f t="shared" si="78"/>
        <v>3</v>
      </c>
      <c r="L322" s="191">
        <f t="shared" si="78"/>
        <v>3</v>
      </c>
      <c r="M322" s="191">
        <f t="shared" si="78"/>
        <v>3</v>
      </c>
      <c r="N322" s="191">
        <f t="shared" si="78"/>
        <v>3</v>
      </c>
      <c r="O322" s="191">
        <f t="shared" si="78"/>
        <v>3</v>
      </c>
      <c r="P322" s="191">
        <f t="shared" si="78"/>
        <v>3</v>
      </c>
      <c r="Q322" s="191">
        <f t="shared" si="78"/>
        <v>3</v>
      </c>
      <c r="R322" s="191">
        <f t="shared" si="78"/>
        <v>3</v>
      </c>
      <c r="S322" s="496">
        <f t="shared" si="78"/>
        <v>3</v>
      </c>
      <c r="T322" s="217"/>
    </row>
    <row r="323" spans="1:20">
      <c r="A323" s="35"/>
      <c r="B323" s="343" t="s">
        <v>314</v>
      </c>
      <c r="C323" s="175" t="s">
        <v>47</v>
      </c>
      <c r="D323" s="329">
        <f>SUM(D324:D330)</f>
        <v>3</v>
      </c>
      <c r="E323" s="329">
        <f t="shared" ref="E323:S323" si="79">SUM(E324:E330)</f>
        <v>3</v>
      </c>
      <c r="F323" s="329">
        <f t="shared" si="79"/>
        <v>3</v>
      </c>
      <c r="G323" s="329">
        <f t="shared" si="79"/>
        <v>3</v>
      </c>
      <c r="H323" s="329">
        <f t="shared" si="79"/>
        <v>3</v>
      </c>
      <c r="I323" s="329">
        <f t="shared" si="79"/>
        <v>3</v>
      </c>
      <c r="J323" s="329">
        <f t="shared" si="79"/>
        <v>3</v>
      </c>
      <c r="K323" s="329">
        <f t="shared" si="79"/>
        <v>3</v>
      </c>
      <c r="L323" s="329">
        <f t="shared" si="79"/>
        <v>3</v>
      </c>
      <c r="M323" s="329">
        <f t="shared" si="79"/>
        <v>3</v>
      </c>
      <c r="N323" s="329">
        <f t="shared" si="79"/>
        <v>3</v>
      </c>
      <c r="O323" s="329">
        <f t="shared" si="79"/>
        <v>3</v>
      </c>
      <c r="P323" s="329">
        <f t="shared" si="79"/>
        <v>3</v>
      </c>
      <c r="Q323" s="329">
        <f t="shared" si="79"/>
        <v>3</v>
      </c>
      <c r="R323" s="329">
        <f t="shared" si="79"/>
        <v>3</v>
      </c>
      <c r="S323" s="334">
        <f t="shared" si="79"/>
        <v>3</v>
      </c>
      <c r="T323" s="218"/>
    </row>
    <row r="324" spans="1:20">
      <c r="A324" s="35"/>
      <c r="B324" s="182" t="s">
        <v>361</v>
      </c>
      <c r="C324" s="175" t="s">
        <v>47</v>
      </c>
      <c r="D324" s="178"/>
      <c r="E324" s="178"/>
      <c r="F324" s="178"/>
      <c r="G324" s="178"/>
      <c r="H324" s="178"/>
      <c r="I324" s="178"/>
      <c r="J324" s="178"/>
      <c r="K324" s="178"/>
      <c r="L324" s="178"/>
      <c r="M324" s="178"/>
      <c r="N324" s="178"/>
      <c r="O324" s="178"/>
      <c r="P324" s="178"/>
      <c r="Q324" s="178"/>
      <c r="R324" s="178"/>
      <c r="S324" s="183"/>
      <c r="T324" s="217"/>
    </row>
    <row r="325" spans="1:20">
      <c r="A325" s="35"/>
      <c r="B325" s="182" t="s">
        <v>362</v>
      </c>
      <c r="C325" s="175" t="s">
        <v>47</v>
      </c>
      <c r="D325" s="178"/>
      <c r="E325" s="178"/>
      <c r="F325" s="178"/>
      <c r="G325" s="178"/>
      <c r="H325" s="178"/>
      <c r="I325" s="178"/>
      <c r="J325" s="178"/>
      <c r="K325" s="178"/>
      <c r="L325" s="178"/>
      <c r="M325" s="178"/>
      <c r="N325" s="178"/>
      <c r="O325" s="178"/>
      <c r="P325" s="178"/>
      <c r="Q325" s="178"/>
      <c r="R325" s="178"/>
      <c r="S325" s="183"/>
      <c r="T325" s="218"/>
    </row>
    <row r="326" spans="1:20">
      <c r="A326" s="35"/>
      <c r="B326" s="182" t="s">
        <v>363</v>
      </c>
      <c r="C326" s="175" t="s">
        <v>47</v>
      </c>
      <c r="D326" s="178"/>
      <c r="E326" s="178"/>
      <c r="F326" s="178"/>
      <c r="G326" s="178"/>
      <c r="H326" s="178"/>
      <c r="I326" s="178"/>
      <c r="J326" s="178"/>
      <c r="K326" s="178"/>
      <c r="L326" s="178"/>
      <c r="M326" s="178"/>
      <c r="N326" s="178"/>
      <c r="O326" s="178"/>
      <c r="P326" s="178"/>
      <c r="Q326" s="178"/>
      <c r="R326" s="178"/>
      <c r="S326" s="183"/>
      <c r="T326" s="218"/>
    </row>
    <row r="327" spans="1:20">
      <c r="A327" s="35"/>
      <c r="B327" s="182" t="s">
        <v>364</v>
      </c>
      <c r="C327" s="175" t="s">
        <v>47</v>
      </c>
      <c r="D327" s="178"/>
      <c r="E327" s="178"/>
      <c r="F327" s="178"/>
      <c r="G327" s="178"/>
      <c r="H327" s="178"/>
      <c r="I327" s="178"/>
      <c r="J327" s="178"/>
      <c r="K327" s="178"/>
      <c r="L327" s="178"/>
      <c r="M327" s="178"/>
      <c r="N327" s="178"/>
      <c r="O327" s="178"/>
      <c r="P327" s="178"/>
      <c r="Q327" s="178"/>
      <c r="R327" s="178"/>
      <c r="S327" s="183"/>
      <c r="T327" s="218"/>
    </row>
    <row r="328" spans="1:20">
      <c r="A328" s="35"/>
      <c r="B328" s="182" t="s">
        <v>365</v>
      </c>
      <c r="C328" s="175" t="s">
        <v>47</v>
      </c>
      <c r="D328" s="178"/>
      <c r="E328" s="178"/>
      <c r="F328" s="178"/>
      <c r="G328" s="178"/>
      <c r="H328" s="178"/>
      <c r="I328" s="178"/>
      <c r="J328" s="178"/>
      <c r="K328" s="178"/>
      <c r="L328" s="178"/>
      <c r="M328" s="178"/>
      <c r="N328" s="178"/>
      <c r="O328" s="178"/>
      <c r="P328" s="178"/>
      <c r="Q328" s="178"/>
      <c r="R328" s="178"/>
      <c r="S328" s="183"/>
      <c r="T328" s="218"/>
    </row>
    <row r="329" spans="1:20">
      <c r="A329" s="35"/>
      <c r="B329" s="182" t="s">
        <v>367</v>
      </c>
      <c r="C329" s="175" t="s">
        <v>47</v>
      </c>
      <c r="D329" s="178">
        <v>3</v>
      </c>
      <c r="E329" s="178">
        <v>3</v>
      </c>
      <c r="F329" s="178">
        <v>3</v>
      </c>
      <c r="G329" s="178">
        <v>3</v>
      </c>
      <c r="H329" s="178">
        <v>3</v>
      </c>
      <c r="I329" s="178">
        <v>3</v>
      </c>
      <c r="J329" s="178">
        <v>3</v>
      </c>
      <c r="K329" s="178">
        <v>3</v>
      </c>
      <c r="L329" s="178">
        <v>3</v>
      </c>
      <c r="M329" s="178">
        <v>3</v>
      </c>
      <c r="N329" s="178">
        <v>3</v>
      </c>
      <c r="O329" s="178">
        <v>3</v>
      </c>
      <c r="P329" s="178">
        <v>3</v>
      </c>
      <c r="Q329" s="178">
        <v>3</v>
      </c>
      <c r="R329" s="178">
        <v>3</v>
      </c>
      <c r="S329" s="183">
        <v>3</v>
      </c>
      <c r="T329" s="218"/>
    </row>
    <row r="330" spans="1:20">
      <c r="A330" s="35"/>
      <c r="B330" s="190" t="s">
        <v>392</v>
      </c>
      <c r="C330" s="175" t="s">
        <v>47</v>
      </c>
      <c r="D330" s="178"/>
      <c r="E330" s="178"/>
      <c r="F330" s="178"/>
      <c r="G330" s="178"/>
      <c r="H330" s="178"/>
      <c r="I330" s="178"/>
      <c r="J330" s="178"/>
      <c r="K330" s="178"/>
      <c r="L330" s="178"/>
      <c r="M330" s="178"/>
      <c r="N330" s="178"/>
      <c r="O330" s="178"/>
      <c r="P330" s="178"/>
      <c r="Q330" s="178"/>
      <c r="R330" s="178"/>
      <c r="S330" s="183"/>
      <c r="T330" s="218"/>
    </row>
    <row r="331" spans="1:20" ht="12.75" thickBot="1">
      <c r="A331" s="35"/>
      <c r="B331" s="355" t="s">
        <v>313</v>
      </c>
      <c r="C331" s="185" t="s">
        <v>47</v>
      </c>
      <c r="D331" s="356"/>
      <c r="E331" s="356"/>
      <c r="F331" s="356"/>
      <c r="G331" s="356"/>
      <c r="H331" s="356"/>
      <c r="I331" s="356"/>
      <c r="J331" s="356"/>
      <c r="K331" s="356"/>
      <c r="L331" s="356"/>
      <c r="M331" s="356"/>
      <c r="N331" s="356"/>
      <c r="O331" s="356"/>
      <c r="P331" s="356"/>
      <c r="Q331" s="356"/>
      <c r="R331" s="356"/>
      <c r="S331" s="357"/>
      <c r="T331" s="218"/>
    </row>
    <row r="332" spans="1:20" ht="12.75" thickBot="1">
      <c r="B332" s="294" t="s">
        <v>213</v>
      </c>
      <c r="C332" s="181" t="s">
        <v>119</v>
      </c>
      <c r="D332" s="377">
        <f>D333+D337+D335</f>
        <v>1033940.2</v>
      </c>
      <c r="E332" s="377">
        <f t="shared" ref="E332:S332" si="80">E333+E337+E335</f>
        <v>1023458.2999999999</v>
      </c>
      <c r="F332" s="377">
        <f t="shared" si="80"/>
        <v>1023458.2999999999</v>
      </c>
      <c r="G332" s="377">
        <f t="shared" si="80"/>
        <v>1023458.3</v>
      </c>
      <c r="H332" s="377">
        <f t="shared" si="80"/>
        <v>1023458.3</v>
      </c>
      <c r="I332" s="377">
        <f t="shared" si="80"/>
        <v>1023458.3</v>
      </c>
      <c r="J332" s="377">
        <f t="shared" si="80"/>
        <v>1023458.3</v>
      </c>
      <c r="K332" s="377">
        <f t="shared" si="80"/>
        <v>1023458.3</v>
      </c>
      <c r="L332" s="377">
        <f t="shared" si="80"/>
        <v>1023458.3</v>
      </c>
      <c r="M332" s="377">
        <f t="shared" si="80"/>
        <v>1023458.3</v>
      </c>
      <c r="N332" s="377">
        <f t="shared" si="80"/>
        <v>1023458.3</v>
      </c>
      <c r="O332" s="377">
        <f t="shared" si="80"/>
        <v>1023458.3</v>
      </c>
      <c r="P332" s="377">
        <f t="shared" si="80"/>
        <v>1023458.3</v>
      </c>
      <c r="Q332" s="377">
        <f t="shared" si="80"/>
        <v>1023458.3</v>
      </c>
      <c r="R332" s="377">
        <f t="shared" si="80"/>
        <v>1023458.3</v>
      </c>
      <c r="S332" s="498">
        <f t="shared" si="80"/>
        <v>1023458.3</v>
      </c>
    </row>
    <row r="333" spans="1:20">
      <c r="B333" s="354" t="s">
        <v>420</v>
      </c>
      <c r="C333" s="175"/>
      <c r="D333" s="347">
        <f>D334</f>
        <v>788068.75294117641</v>
      </c>
      <c r="E333" s="347">
        <f t="shared" ref="E333:S333" si="81">E334</f>
        <v>777586.85294117639</v>
      </c>
      <c r="F333" s="347">
        <f t="shared" si="81"/>
        <v>777586.85294117639</v>
      </c>
      <c r="G333" s="347">
        <f t="shared" si="81"/>
        <v>512732.21331407578</v>
      </c>
      <c r="H333" s="347">
        <f t="shared" si="81"/>
        <v>512732.21331407578</v>
      </c>
      <c r="I333" s="347">
        <f t="shared" si="81"/>
        <v>512732.21331407578</v>
      </c>
      <c r="J333" s="347">
        <f t="shared" si="81"/>
        <v>536571.84251950798</v>
      </c>
      <c r="K333" s="347">
        <f t="shared" si="81"/>
        <v>536571.84251950798</v>
      </c>
      <c r="L333" s="347">
        <f t="shared" si="81"/>
        <v>536571.84251950798</v>
      </c>
      <c r="M333" s="347">
        <f t="shared" si="81"/>
        <v>536571.84251950798</v>
      </c>
      <c r="N333" s="347">
        <f t="shared" si="81"/>
        <v>536571.84251950798</v>
      </c>
      <c r="O333" s="347">
        <f t="shared" si="81"/>
        <v>536571.84251950798</v>
      </c>
      <c r="P333" s="347">
        <f t="shared" si="81"/>
        <v>536571.84251950798</v>
      </c>
      <c r="Q333" s="347">
        <f t="shared" si="81"/>
        <v>536571.84251950798</v>
      </c>
      <c r="R333" s="347">
        <f t="shared" si="81"/>
        <v>536571.84251950798</v>
      </c>
      <c r="S333" s="349">
        <f t="shared" si="81"/>
        <v>536571.84251950798</v>
      </c>
    </row>
    <row r="334" spans="1:20" ht="12.75" thickBot="1">
      <c r="B334" s="182" t="s">
        <v>204</v>
      </c>
      <c r="C334" s="175" t="s">
        <v>119</v>
      </c>
      <c r="D334" s="70">
        <v>788068.75294117641</v>
      </c>
      <c r="E334" s="70">
        <v>777586.85294117639</v>
      </c>
      <c r="F334" s="70">
        <v>777586.85294117639</v>
      </c>
      <c r="G334" s="70">
        <v>512732.21331407578</v>
      </c>
      <c r="H334" s="70">
        <v>512732.21331407578</v>
      </c>
      <c r="I334" s="70">
        <v>512732.21331407578</v>
      </c>
      <c r="J334" s="70">
        <v>536571.84251950798</v>
      </c>
      <c r="K334" s="70">
        <v>536571.84251950798</v>
      </c>
      <c r="L334" s="70">
        <v>536571.84251950798</v>
      </c>
      <c r="M334" s="70">
        <v>536571.84251950798</v>
      </c>
      <c r="N334" s="70">
        <v>536571.84251950798</v>
      </c>
      <c r="O334" s="70">
        <v>536571.84251950798</v>
      </c>
      <c r="P334" s="70">
        <v>536571.84251950798</v>
      </c>
      <c r="Q334" s="70">
        <v>536571.84251950798</v>
      </c>
      <c r="R334" s="70">
        <v>536571.84251950798</v>
      </c>
      <c r="S334" s="188">
        <v>536571.84251950798</v>
      </c>
      <c r="T334" s="9"/>
    </row>
    <row r="335" spans="1:20">
      <c r="B335" s="354" t="s">
        <v>418</v>
      </c>
      <c r="C335" s="175"/>
      <c r="D335" s="347">
        <f>D336</f>
        <v>77471</v>
      </c>
      <c r="E335" s="347">
        <f t="shared" ref="E335:S335" si="82">E336</f>
        <v>77471</v>
      </c>
      <c r="F335" s="347">
        <f t="shared" si="82"/>
        <v>77471</v>
      </c>
      <c r="G335" s="347">
        <f t="shared" si="82"/>
        <v>340548.68224789907</v>
      </c>
      <c r="H335" s="347">
        <f t="shared" si="82"/>
        <v>340548.68224789907</v>
      </c>
      <c r="I335" s="347">
        <f t="shared" si="82"/>
        <v>340548.68224789907</v>
      </c>
      <c r="J335" s="347">
        <f t="shared" si="82"/>
        <v>340548.68224789907</v>
      </c>
      <c r="K335" s="347">
        <f t="shared" si="82"/>
        <v>340548.68224789907</v>
      </c>
      <c r="L335" s="347">
        <f t="shared" si="82"/>
        <v>340548.68224789907</v>
      </c>
      <c r="M335" s="347">
        <f t="shared" si="82"/>
        <v>340548.68224789907</v>
      </c>
      <c r="N335" s="347">
        <f t="shared" si="82"/>
        <v>340548.68224789907</v>
      </c>
      <c r="O335" s="347">
        <f t="shared" si="82"/>
        <v>340548.68224789907</v>
      </c>
      <c r="P335" s="347">
        <f t="shared" si="82"/>
        <v>340548.68224789907</v>
      </c>
      <c r="Q335" s="347">
        <f t="shared" si="82"/>
        <v>340548.68224789907</v>
      </c>
      <c r="R335" s="347">
        <f t="shared" si="82"/>
        <v>340548.68224789907</v>
      </c>
      <c r="S335" s="349">
        <f t="shared" si="82"/>
        <v>340548.68224789907</v>
      </c>
      <c r="T335" s="9"/>
    </row>
    <row r="336" spans="1:20" ht="12.75" thickBot="1">
      <c r="B336" s="182" t="s">
        <v>313</v>
      </c>
      <c r="C336" s="175" t="s">
        <v>119</v>
      </c>
      <c r="D336" s="70">
        <v>77471</v>
      </c>
      <c r="E336" s="70">
        <v>77471</v>
      </c>
      <c r="F336" s="70">
        <v>77471</v>
      </c>
      <c r="G336" s="70">
        <v>340548.68224789907</v>
      </c>
      <c r="H336" s="70">
        <v>340548.68224789907</v>
      </c>
      <c r="I336" s="70">
        <v>340548.68224789907</v>
      </c>
      <c r="J336" s="70">
        <v>340548.68224789907</v>
      </c>
      <c r="K336" s="70">
        <v>340548.68224789907</v>
      </c>
      <c r="L336" s="70">
        <v>340548.68224789907</v>
      </c>
      <c r="M336" s="70">
        <v>340548.68224789907</v>
      </c>
      <c r="N336" s="70">
        <v>340548.68224789907</v>
      </c>
      <c r="O336" s="70">
        <v>340548.68224789907</v>
      </c>
      <c r="P336" s="70">
        <v>340548.68224789907</v>
      </c>
      <c r="Q336" s="70">
        <v>340548.68224789907</v>
      </c>
      <c r="R336" s="70">
        <v>340548.68224789907</v>
      </c>
      <c r="S336" s="188">
        <v>340548.68224789907</v>
      </c>
      <c r="T336" s="145"/>
    </row>
    <row r="337" spans="2:20">
      <c r="B337" s="354" t="s">
        <v>419</v>
      </c>
      <c r="C337" s="175"/>
      <c r="D337" s="347">
        <f>D338+D339</f>
        <v>168400.44705882354</v>
      </c>
      <c r="E337" s="347">
        <f t="shared" ref="E337:S337" si="83">E338+E339</f>
        <v>168400.44705882354</v>
      </c>
      <c r="F337" s="347">
        <f t="shared" si="83"/>
        <v>168400.44705882354</v>
      </c>
      <c r="G337" s="347">
        <f t="shared" si="83"/>
        <v>170177.40443802523</v>
      </c>
      <c r="H337" s="347">
        <f t="shared" si="83"/>
        <v>170177.40443802523</v>
      </c>
      <c r="I337" s="347">
        <f t="shared" si="83"/>
        <v>170177.40443802523</v>
      </c>
      <c r="J337" s="347">
        <f t="shared" si="83"/>
        <v>146337.77523259306</v>
      </c>
      <c r="K337" s="347">
        <f t="shared" si="83"/>
        <v>146337.77523259306</v>
      </c>
      <c r="L337" s="347">
        <f t="shared" si="83"/>
        <v>146337.77523259306</v>
      </c>
      <c r="M337" s="347">
        <f t="shared" si="83"/>
        <v>146337.77523259306</v>
      </c>
      <c r="N337" s="347">
        <f t="shared" si="83"/>
        <v>146337.77523259306</v>
      </c>
      <c r="O337" s="347">
        <f t="shared" si="83"/>
        <v>146337.77523259306</v>
      </c>
      <c r="P337" s="347">
        <f t="shared" si="83"/>
        <v>146337.77523259306</v>
      </c>
      <c r="Q337" s="347">
        <f t="shared" si="83"/>
        <v>146337.77523259306</v>
      </c>
      <c r="R337" s="347">
        <f t="shared" si="83"/>
        <v>146337.77523259306</v>
      </c>
      <c r="S337" s="349">
        <f t="shared" si="83"/>
        <v>146337.77523259306</v>
      </c>
    </row>
    <row r="338" spans="2:20">
      <c r="B338" s="182" t="s">
        <v>204</v>
      </c>
      <c r="C338" s="175" t="s">
        <v>119</v>
      </c>
      <c r="D338" s="70">
        <v>168400.44705882354</v>
      </c>
      <c r="E338" s="70">
        <v>168400.44705882354</v>
      </c>
      <c r="F338" s="70">
        <v>168400.44705882354</v>
      </c>
      <c r="G338" s="70">
        <v>170177.40443802523</v>
      </c>
      <c r="H338" s="70">
        <v>170177.40443802523</v>
      </c>
      <c r="I338" s="70">
        <v>170177.40443802523</v>
      </c>
      <c r="J338" s="70">
        <v>146337.77523259306</v>
      </c>
      <c r="K338" s="70">
        <v>146337.77523259306</v>
      </c>
      <c r="L338" s="70">
        <v>146337.77523259306</v>
      </c>
      <c r="M338" s="70">
        <v>146337.77523259306</v>
      </c>
      <c r="N338" s="70">
        <v>146337.77523259306</v>
      </c>
      <c r="O338" s="70">
        <v>146337.77523259306</v>
      </c>
      <c r="P338" s="70">
        <v>146337.77523259306</v>
      </c>
      <c r="Q338" s="70">
        <v>146337.77523259306</v>
      </c>
      <c r="R338" s="70">
        <v>146337.77523259306</v>
      </c>
      <c r="S338" s="188">
        <v>146337.77523259306</v>
      </c>
      <c r="T338" s="9"/>
    </row>
    <row r="339" spans="2:20" ht="12.75" thickBot="1">
      <c r="B339" s="182" t="s">
        <v>313</v>
      </c>
      <c r="C339" s="175" t="s">
        <v>119</v>
      </c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188"/>
      <c r="T339" s="145"/>
    </row>
    <row r="340" spans="2:20">
      <c r="B340" s="354" t="s">
        <v>420</v>
      </c>
      <c r="C340" s="175"/>
      <c r="D340" s="70"/>
      <c r="E340" s="347"/>
      <c r="F340" s="347"/>
      <c r="G340" s="347"/>
      <c r="H340" s="347"/>
      <c r="I340" s="347"/>
      <c r="J340" s="347"/>
      <c r="K340" s="347"/>
      <c r="L340" s="347"/>
      <c r="M340" s="347"/>
      <c r="N340" s="347"/>
      <c r="O340" s="347"/>
      <c r="P340" s="347"/>
      <c r="Q340" s="347"/>
      <c r="R340" s="347"/>
      <c r="S340" s="349"/>
      <c r="T340" s="145"/>
    </row>
    <row r="341" spans="2:20" ht="12.75" thickBot="1">
      <c r="B341" s="182" t="s">
        <v>204</v>
      </c>
      <c r="C341" s="175" t="s">
        <v>402</v>
      </c>
      <c r="D341" s="70">
        <f t="shared" ref="D341:S341" si="84">IFERROR(D334/D311,0)</f>
        <v>49254.297058823526</v>
      </c>
      <c r="E341" s="70">
        <f t="shared" si="84"/>
        <v>48599.178308823524</v>
      </c>
      <c r="F341" s="70">
        <f t="shared" si="84"/>
        <v>48599.178308823524</v>
      </c>
      <c r="G341" s="70">
        <f t="shared" si="84"/>
        <v>46612.019392188704</v>
      </c>
      <c r="H341" s="70">
        <f t="shared" si="84"/>
        <v>46612.019392188704</v>
      </c>
      <c r="I341" s="70">
        <f t="shared" si="84"/>
        <v>46612.019392188704</v>
      </c>
      <c r="J341" s="70">
        <f t="shared" si="84"/>
        <v>48779.258410864364</v>
      </c>
      <c r="K341" s="70">
        <f t="shared" si="84"/>
        <v>48779.258410864364</v>
      </c>
      <c r="L341" s="70">
        <f t="shared" si="84"/>
        <v>48779.258410864364</v>
      </c>
      <c r="M341" s="70">
        <f t="shared" si="84"/>
        <v>48779.258410864364</v>
      </c>
      <c r="N341" s="70">
        <f t="shared" si="84"/>
        <v>48779.258410864364</v>
      </c>
      <c r="O341" s="70">
        <f t="shared" si="84"/>
        <v>48779.258410864364</v>
      </c>
      <c r="P341" s="70">
        <f t="shared" si="84"/>
        <v>48779.258410864364</v>
      </c>
      <c r="Q341" s="70">
        <f t="shared" si="84"/>
        <v>48779.258410864364</v>
      </c>
      <c r="R341" s="70">
        <f t="shared" si="84"/>
        <v>48779.258410864364</v>
      </c>
      <c r="S341" s="188">
        <f t="shared" si="84"/>
        <v>48779.258410864364</v>
      </c>
      <c r="T341" s="145"/>
    </row>
    <row r="342" spans="2:20">
      <c r="B342" s="354" t="s">
        <v>418</v>
      </c>
      <c r="C342" s="175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188"/>
      <c r="T342" s="145"/>
    </row>
    <row r="343" spans="2:20" ht="12.75" thickBot="1">
      <c r="B343" s="182" t="s">
        <v>313</v>
      </c>
      <c r="C343" s="175" t="s">
        <v>402</v>
      </c>
      <c r="D343" s="70">
        <f t="shared" ref="D343:S343" si="85">IFERROR(D336/D321,0)</f>
        <v>38735.5</v>
      </c>
      <c r="E343" s="70">
        <f t="shared" si="85"/>
        <v>38735.5</v>
      </c>
      <c r="F343" s="70">
        <f t="shared" si="85"/>
        <v>38735.5</v>
      </c>
      <c r="G343" s="70">
        <f t="shared" si="85"/>
        <v>48649.811749699868</v>
      </c>
      <c r="H343" s="70">
        <f t="shared" si="85"/>
        <v>48649.811749699868</v>
      </c>
      <c r="I343" s="70">
        <f t="shared" si="85"/>
        <v>48649.811749699868</v>
      </c>
      <c r="J343" s="70">
        <f t="shared" si="85"/>
        <v>48649.811749699868</v>
      </c>
      <c r="K343" s="70">
        <f t="shared" si="85"/>
        <v>48649.811749699868</v>
      </c>
      <c r="L343" s="70">
        <f t="shared" si="85"/>
        <v>48649.811749699868</v>
      </c>
      <c r="M343" s="70">
        <f t="shared" si="85"/>
        <v>48649.811749699868</v>
      </c>
      <c r="N343" s="70">
        <f t="shared" si="85"/>
        <v>48649.811749699868</v>
      </c>
      <c r="O343" s="70">
        <f t="shared" si="85"/>
        <v>48649.811749699868</v>
      </c>
      <c r="P343" s="70">
        <f t="shared" si="85"/>
        <v>48649.811749699868</v>
      </c>
      <c r="Q343" s="70">
        <f t="shared" si="85"/>
        <v>48649.811749699868</v>
      </c>
      <c r="R343" s="70">
        <f t="shared" si="85"/>
        <v>48649.811749699868</v>
      </c>
      <c r="S343" s="188">
        <f t="shared" si="85"/>
        <v>48649.811749699868</v>
      </c>
      <c r="T343" s="145"/>
    </row>
    <row r="344" spans="2:20">
      <c r="B344" s="354" t="s">
        <v>419</v>
      </c>
      <c r="C344" s="175"/>
      <c r="D344" s="70"/>
      <c r="E344" s="347"/>
      <c r="F344" s="347"/>
      <c r="G344" s="347"/>
      <c r="H344" s="347"/>
      <c r="I344" s="347"/>
      <c r="J344" s="347"/>
      <c r="K344" s="347"/>
      <c r="L344" s="347"/>
      <c r="M344" s="347"/>
      <c r="N344" s="347"/>
      <c r="O344" s="347"/>
      <c r="P344" s="347"/>
      <c r="Q344" s="347"/>
      <c r="R344" s="347"/>
      <c r="S344" s="349"/>
      <c r="T344" s="145"/>
    </row>
    <row r="345" spans="2:20">
      <c r="B345" s="182" t="s">
        <v>204</v>
      </c>
      <c r="C345" s="175" t="s">
        <v>402</v>
      </c>
      <c r="D345" s="70">
        <f t="shared" ref="D345:S345" si="86">IFERROR(D338/D323,0)</f>
        <v>56133.482352941181</v>
      </c>
      <c r="E345" s="70">
        <f t="shared" si="86"/>
        <v>56133.482352941181</v>
      </c>
      <c r="F345" s="70">
        <f t="shared" si="86"/>
        <v>56133.482352941181</v>
      </c>
      <c r="G345" s="70">
        <f t="shared" si="86"/>
        <v>56725.801479341746</v>
      </c>
      <c r="H345" s="70">
        <f t="shared" si="86"/>
        <v>56725.801479341746</v>
      </c>
      <c r="I345" s="70">
        <f t="shared" si="86"/>
        <v>56725.801479341746</v>
      </c>
      <c r="J345" s="70">
        <f t="shared" si="86"/>
        <v>48779.258410864357</v>
      </c>
      <c r="K345" s="70">
        <f t="shared" si="86"/>
        <v>48779.258410864357</v>
      </c>
      <c r="L345" s="70">
        <f t="shared" si="86"/>
        <v>48779.258410864357</v>
      </c>
      <c r="M345" s="70">
        <f t="shared" si="86"/>
        <v>48779.258410864357</v>
      </c>
      <c r="N345" s="70">
        <f t="shared" si="86"/>
        <v>48779.258410864357</v>
      </c>
      <c r="O345" s="70">
        <f t="shared" si="86"/>
        <v>48779.258410864357</v>
      </c>
      <c r="P345" s="70">
        <f t="shared" si="86"/>
        <v>48779.258410864357</v>
      </c>
      <c r="Q345" s="70">
        <f t="shared" si="86"/>
        <v>48779.258410864357</v>
      </c>
      <c r="R345" s="70">
        <f t="shared" si="86"/>
        <v>48779.258410864357</v>
      </c>
      <c r="S345" s="188">
        <f t="shared" si="86"/>
        <v>48779.258410864357</v>
      </c>
      <c r="T345" s="145"/>
    </row>
    <row r="346" spans="2:20">
      <c r="B346" s="182" t="s">
        <v>313</v>
      </c>
      <c r="C346" s="175" t="s">
        <v>402</v>
      </c>
      <c r="D346" s="70">
        <f t="shared" ref="D346:S346" si="87">IFERROR(D339/D331,0)</f>
        <v>0</v>
      </c>
      <c r="E346" s="70">
        <f t="shared" si="87"/>
        <v>0</v>
      </c>
      <c r="F346" s="70">
        <f t="shared" si="87"/>
        <v>0</v>
      </c>
      <c r="G346" s="70">
        <f t="shared" si="87"/>
        <v>0</v>
      </c>
      <c r="H346" s="70">
        <f t="shared" si="87"/>
        <v>0</v>
      </c>
      <c r="I346" s="70">
        <f t="shared" si="87"/>
        <v>0</v>
      </c>
      <c r="J346" s="70">
        <f t="shared" si="87"/>
        <v>0</v>
      </c>
      <c r="K346" s="70">
        <f t="shared" si="87"/>
        <v>0</v>
      </c>
      <c r="L346" s="70">
        <f t="shared" si="87"/>
        <v>0</v>
      </c>
      <c r="M346" s="70">
        <f t="shared" si="87"/>
        <v>0</v>
      </c>
      <c r="N346" s="70">
        <f t="shared" si="87"/>
        <v>0</v>
      </c>
      <c r="O346" s="70">
        <f t="shared" si="87"/>
        <v>0</v>
      </c>
      <c r="P346" s="70">
        <f t="shared" si="87"/>
        <v>0</v>
      </c>
      <c r="Q346" s="70">
        <f t="shared" si="87"/>
        <v>0</v>
      </c>
      <c r="R346" s="70">
        <f t="shared" si="87"/>
        <v>0</v>
      </c>
      <c r="S346" s="188">
        <f t="shared" si="87"/>
        <v>0</v>
      </c>
      <c r="T346" s="145"/>
    </row>
    <row r="347" spans="2:20" ht="12.75" thickBot="1">
      <c r="B347" s="184" t="s">
        <v>301</v>
      </c>
      <c r="C347" s="185" t="s">
        <v>27</v>
      </c>
      <c r="D347" s="350">
        <v>4.0476190476190474</v>
      </c>
      <c r="E347" s="350">
        <v>5.0476190476190474</v>
      </c>
      <c r="F347" s="350">
        <v>6.0476190476190474</v>
      </c>
      <c r="G347" s="350">
        <v>2.1904761904761907</v>
      </c>
      <c r="H347" s="350">
        <v>3.1904761904761907</v>
      </c>
      <c r="I347" s="350">
        <v>4.1904761904761907</v>
      </c>
      <c r="J347" s="350">
        <v>4.4761904761904763</v>
      </c>
      <c r="K347" s="350">
        <v>5.4761904761904763</v>
      </c>
      <c r="L347" s="350">
        <v>6.4761904761904763</v>
      </c>
      <c r="M347" s="350">
        <v>7.4761904761904763</v>
      </c>
      <c r="N347" s="350">
        <v>8.4761904761904763</v>
      </c>
      <c r="O347" s="350">
        <v>5.1904761904761907</v>
      </c>
      <c r="P347" s="350">
        <v>6.1904761904761907</v>
      </c>
      <c r="Q347" s="350">
        <v>5.8571428571428568</v>
      </c>
      <c r="R347" s="350">
        <v>6.8571428571428568</v>
      </c>
      <c r="S347" s="351">
        <v>6.1428571428571432</v>
      </c>
      <c r="T347" s="145"/>
    </row>
    <row r="348" spans="2:20" ht="12.75">
      <c r="B348" s="53"/>
      <c r="C348" s="53"/>
      <c r="D348" s="53"/>
      <c r="E348" s="64"/>
      <c r="F348" s="40"/>
      <c r="G348" s="40"/>
      <c r="H348" s="54"/>
      <c r="I348" s="40"/>
      <c r="J348" s="44"/>
      <c r="K348" s="45"/>
    </row>
    <row r="349" spans="2:20" ht="12.75">
      <c r="B349" s="53"/>
      <c r="C349" s="53"/>
      <c r="D349" s="53"/>
      <c r="E349" s="473"/>
      <c r="F349" s="473"/>
      <c r="G349" s="40"/>
      <c r="H349" s="54"/>
      <c r="I349" s="40"/>
      <c r="J349" s="44"/>
      <c r="K349" s="45"/>
    </row>
    <row r="350" spans="2:20" ht="12.75">
      <c r="B350" s="53"/>
      <c r="C350" s="53"/>
      <c r="D350" s="53"/>
      <c r="E350" s="64"/>
      <c r="F350" s="40"/>
      <c r="G350" s="40"/>
      <c r="H350" s="54"/>
      <c r="I350" s="40"/>
      <c r="J350" s="44"/>
      <c r="K350" s="45"/>
    </row>
    <row r="351" spans="2:20" ht="20.25">
      <c r="B351" s="43"/>
      <c r="C351" s="43"/>
      <c r="D351" s="43"/>
      <c r="E351" s="43"/>
      <c r="F351" s="43"/>
      <c r="G351" s="43"/>
      <c r="H351" s="43"/>
      <c r="I351" s="43"/>
      <c r="J351" s="43"/>
      <c r="K351" s="43"/>
    </row>
    <row r="352" spans="2:20" ht="33" customHeight="1">
      <c r="B352" s="506"/>
      <c r="C352" s="506"/>
      <c r="D352" s="506"/>
      <c r="E352" s="506"/>
      <c r="F352" s="506"/>
      <c r="G352" s="43"/>
      <c r="H352" s="43"/>
      <c r="I352" s="43"/>
      <c r="J352" s="43"/>
      <c r="K352" s="43"/>
    </row>
    <row r="353" spans="2:11" ht="12.75">
      <c r="B353" s="55"/>
      <c r="C353" s="55"/>
      <c r="D353" s="55"/>
      <c r="E353" s="55"/>
      <c r="F353" s="55"/>
      <c r="G353" s="55"/>
      <c r="H353" s="55"/>
      <c r="I353" s="56"/>
      <c r="J353" s="56"/>
      <c r="K353" s="510"/>
    </row>
    <row r="354" spans="2:11" ht="12.75">
      <c r="B354" s="55"/>
      <c r="C354" s="55"/>
      <c r="D354" s="55"/>
      <c r="E354" s="55"/>
      <c r="F354" s="55"/>
      <c r="G354" s="55"/>
      <c r="H354" s="55"/>
      <c r="I354" s="56"/>
      <c r="J354" s="56"/>
      <c r="K354" s="510"/>
    </row>
    <row r="355" spans="2:11" ht="12.75">
      <c r="B355"/>
      <c r="C355"/>
      <c r="D355"/>
      <c r="E355"/>
      <c r="F355"/>
      <c r="G355"/>
      <c r="H355"/>
      <c r="I355"/>
      <c r="J355" s="40"/>
      <c r="K355"/>
    </row>
    <row r="356" spans="2:11" ht="12.75">
      <c r="B356"/>
      <c r="C356"/>
      <c r="D356"/>
      <c r="E356"/>
      <c r="F356"/>
      <c r="G356"/>
      <c r="H356"/>
      <c r="I356" s="47"/>
      <c r="J356" s="57"/>
      <c r="K356" s="40"/>
    </row>
    <row r="357" spans="2:11" ht="12.75">
      <c r="B357"/>
      <c r="C357"/>
      <c r="D357"/>
      <c r="E357"/>
      <c r="F357"/>
      <c r="G357"/>
      <c r="H357"/>
      <c r="I357" s="48"/>
      <c r="J357" s="57"/>
      <c r="K357" s="40"/>
    </row>
    <row r="358" spans="2:11" ht="12.75">
      <c r="B358"/>
      <c r="C358"/>
      <c r="D358"/>
      <c r="E358"/>
      <c r="F358"/>
      <c r="G358"/>
      <c r="H358"/>
      <c r="I358" s="49"/>
      <c r="J358" s="57"/>
      <c r="K358" s="40"/>
    </row>
    <row r="359" spans="2:11" ht="12.75">
      <c r="B359"/>
      <c r="C359"/>
      <c r="D359"/>
      <c r="E359"/>
      <c r="F359"/>
      <c r="G359"/>
      <c r="H359"/>
      <c r="I359" s="49"/>
      <c r="J359" s="57"/>
      <c r="K359" s="40"/>
    </row>
    <row r="360" spans="2:11" ht="12.75">
      <c r="B360"/>
      <c r="C360"/>
      <c r="D360"/>
      <c r="E360"/>
      <c r="F360"/>
      <c r="G360"/>
      <c r="H360"/>
      <c r="I360" s="49"/>
      <c r="J360" s="57"/>
      <c r="K360" s="40"/>
    </row>
    <row r="361" spans="2:11" ht="12.75">
      <c r="B361"/>
      <c r="C361"/>
      <c r="D361"/>
      <c r="E361"/>
      <c r="F361"/>
      <c r="G361"/>
      <c r="H361"/>
      <c r="I361" s="49"/>
      <c r="J361" s="57"/>
      <c r="K361" s="40"/>
    </row>
    <row r="362" spans="2:11" ht="12.75">
      <c r="B362"/>
      <c r="C362"/>
      <c r="D362"/>
      <c r="E362"/>
      <c r="F362"/>
      <c r="G362"/>
      <c r="H362"/>
      <c r="I362"/>
      <c r="J362"/>
      <c r="K362"/>
    </row>
    <row r="363" spans="2:11" ht="12.75">
      <c r="B363" s="55"/>
      <c r="C363" s="55"/>
      <c r="D363" s="55"/>
      <c r="E363" s="55"/>
      <c r="F363" s="55"/>
      <c r="G363" s="55"/>
      <c r="H363" s="55"/>
      <c r="I363" s="509"/>
      <c r="J363" s="58"/>
      <c r="K363" s="58"/>
    </row>
    <row r="364" spans="2:11" ht="12.75">
      <c r="B364" s="55"/>
      <c r="C364" s="55"/>
      <c r="D364" s="55"/>
      <c r="E364" s="55"/>
      <c r="F364" s="55"/>
      <c r="G364" s="55"/>
      <c r="H364" s="55"/>
      <c r="I364" s="509"/>
      <c r="J364" s="58"/>
      <c r="K364" s="58"/>
    </row>
    <row r="365" spans="2:11" ht="12.75">
      <c r="B365" s="50"/>
      <c r="C365" s="50"/>
      <c r="D365" s="50"/>
      <c r="E365"/>
      <c r="F365" s="51"/>
      <c r="G365" s="51"/>
      <c r="H365"/>
      <c r="I365" s="51"/>
      <c r="J365" s="59"/>
      <c r="K365" s="40"/>
    </row>
    <row r="366" spans="2:11" ht="12.75">
      <c r="B366"/>
      <c r="C366"/>
      <c r="D366"/>
      <c r="E366"/>
      <c r="F366"/>
      <c r="G366"/>
      <c r="H366"/>
      <c r="I366" s="40"/>
      <c r="J366" s="40"/>
      <c r="K366" s="57"/>
    </row>
    <row r="367" spans="2:11" ht="12.75">
      <c r="B367"/>
      <c r="C367"/>
      <c r="D367"/>
      <c r="E367"/>
      <c r="F367"/>
      <c r="G367"/>
      <c r="H367"/>
      <c r="I367" s="57"/>
      <c r="J367" s="40"/>
      <c r="K367" s="40"/>
    </row>
    <row r="368" spans="2:11" ht="12.75">
      <c r="B368"/>
      <c r="C368"/>
      <c r="D368"/>
      <c r="E368"/>
      <c r="F368"/>
      <c r="G368"/>
      <c r="H368"/>
      <c r="I368" s="38"/>
      <c r="J368" s="40"/>
      <c r="K368" s="40"/>
    </row>
    <row r="369" spans="2:11" ht="12.75">
      <c r="B369"/>
      <c r="C369"/>
      <c r="D369"/>
      <c r="E369"/>
      <c r="F369"/>
      <c r="G369"/>
      <c r="H369"/>
      <c r="I369" s="60"/>
      <c r="J369" s="40"/>
      <c r="K369" s="40"/>
    </row>
    <row r="370" spans="2:11" ht="12.75">
      <c r="B370"/>
      <c r="C370"/>
      <c r="D370"/>
      <c r="E370"/>
      <c r="F370"/>
      <c r="G370"/>
      <c r="H370" s="40"/>
      <c r="I370"/>
      <c r="J370"/>
      <c r="K370"/>
    </row>
    <row r="371" spans="2:11" ht="12.75">
      <c r="B371" s="52"/>
      <c r="C371" s="52"/>
      <c r="D371" s="52"/>
      <c r="E371"/>
      <c r="F371"/>
      <c r="G371"/>
      <c r="H371" s="40"/>
      <c r="I371"/>
      <c r="J371"/>
      <c r="K371"/>
    </row>
    <row r="372" spans="2:11" ht="12.75">
      <c r="B372"/>
      <c r="C372"/>
      <c r="D372"/>
      <c r="E372" s="61"/>
      <c r="F372"/>
      <c r="G372"/>
      <c r="H372"/>
      <c r="I372"/>
      <c r="J372"/>
      <c r="K372"/>
    </row>
    <row r="373" spans="2:11" ht="12.75">
      <c r="B373" s="507"/>
      <c r="C373" s="62"/>
      <c r="D373" s="62"/>
      <c r="E373" s="62"/>
      <c r="F373" s="62"/>
      <c r="G373" s="507"/>
      <c r="H373" s="507"/>
      <c r="I373" s="507"/>
      <c r="J373" s="507"/>
      <c r="K373" s="507"/>
    </row>
    <row r="374" spans="2:11" ht="12.75">
      <c r="B374" s="507"/>
      <c r="C374" s="62"/>
      <c r="D374" s="62"/>
      <c r="E374" s="62"/>
      <c r="F374" s="62"/>
      <c r="G374" s="62"/>
      <c r="H374" s="62"/>
      <c r="I374" s="508"/>
      <c r="J374" s="508"/>
      <c r="K374" s="508"/>
    </row>
    <row r="375" spans="2:11" ht="12.75">
      <c r="B375" s="53"/>
      <c r="C375" s="53"/>
      <c r="D375" s="53"/>
      <c r="E375" s="63"/>
      <c r="F375" s="40"/>
      <c r="G375" s="40"/>
      <c r="H375" s="54"/>
      <c r="I375" s="40"/>
      <c r="J375" s="40"/>
      <c r="K375" s="45"/>
    </row>
    <row r="376" spans="2:11" ht="12.75">
      <c r="B376" s="53"/>
      <c r="C376" s="53"/>
      <c r="D376" s="53"/>
      <c r="E376" s="63"/>
      <c r="F376" s="40"/>
      <c r="G376" s="40"/>
      <c r="H376" s="54"/>
      <c r="I376" s="40"/>
      <c r="J376" s="44"/>
      <c r="K376" s="45"/>
    </row>
    <row r="377" spans="2:11" ht="12.75">
      <c r="B377" s="53"/>
      <c r="C377" s="53"/>
      <c r="D377" s="53"/>
      <c r="E377" s="63"/>
      <c r="F377" s="40"/>
      <c r="G377" s="40"/>
      <c r="H377" s="54"/>
      <c r="I377" s="40"/>
      <c r="J377" s="44"/>
      <c r="K377"/>
    </row>
    <row r="378" spans="2:11" ht="12.75">
      <c r="B378" s="53"/>
      <c r="C378" s="53"/>
      <c r="D378" s="53"/>
      <c r="E378" s="63"/>
      <c r="F378" s="40"/>
      <c r="G378" s="40"/>
      <c r="H378" s="54"/>
      <c r="I378" s="40"/>
      <c r="J378" s="44"/>
      <c r="K378" s="45"/>
    </row>
    <row r="379" spans="2:11" ht="12.75">
      <c r="B379" s="53"/>
      <c r="C379" s="53"/>
      <c r="D379" s="53"/>
      <c r="E379" s="64"/>
      <c r="F379" s="40"/>
      <c r="G379" s="40"/>
      <c r="H379" s="54"/>
      <c r="I379" s="40"/>
      <c r="J379" s="44"/>
      <c r="K379" s="45"/>
    </row>
    <row r="380" spans="2:11" ht="12.75">
      <c r="B380" s="53"/>
      <c r="C380" s="53"/>
      <c r="D380" s="53"/>
      <c r="E380" s="64"/>
      <c r="F380" s="40"/>
      <c r="G380" s="40"/>
      <c r="H380" s="54"/>
      <c r="I380" s="40"/>
      <c r="J380" s="44"/>
      <c r="K380" s="45"/>
    </row>
    <row r="381" spans="2:11" ht="12.75">
      <c r="B381" s="53"/>
      <c r="C381" s="53"/>
      <c r="D381" s="53"/>
      <c r="E381" s="64"/>
      <c r="F381" s="40"/>
      <c r="G381" s="40"/>
      <c r="H381" s="54"/>
      <c r="I381" s="40"/>
      <c r="J381" s="44"/>
      <c r="K381" s="45"/>
    </row>
    <row r="382" spans="2:11" ht="12.75">
      <c r="B382" s="53"/>
      <c r="C382" s="53"/>
      <c r="D382" s="53"/>
      <c r="E382" s="64"/>
      <c r="F382" s="40"/>
      <c r="G382" s="40"/>
      <c r="H382" s="54"/>
      <c r="I382" s="40"/>
      <c r="J382" s="44"/>
      <c r="K382" s="45"/>
    </row>
    <row r="383" spans="2:11" ht="12.75">
      <c r="B383" s="53"/>
      <c r="C383" s="53"/>
      <c r="D383" s="53"/>
      <c r="E383" s="64"/>
      <c r="F383" s="40"/>
      <c r="G383" s="40"/>
      <c r="H383" s="54"/>
      <c r="I383" s="40"/>
      <c r="J383" s="44"/>
      <c r="K383" s="45"/>
    </row>
    <row r="384" spans="2:11" ht="12.75">
      <c r="B384" s="53"/>
      <c r="C384" s="53"/>
      <c r="D384" s="53"/>
      <c r="E384" s="64"/>
      <c r="F384" s="40"/>
      <c r="G384" s="40"/>
      <c r="H384" s="54"/>
      <c r="I384" s="40"/>
      <c r="J384" s="44"/>
      <c r="K384" s="45"/>
    </row>
    <row r="385" spans="2:11" ht="12.75">
      <c r="B385" s="53"/>
      <c r="C385" s="53"/>
      <c r="D385" s="53"/>
      <c r="E385" s="64"/>
      <c r="F385" s="40"/>
      <c r="G385" s="40"/>
      <c r="H385" s="54"/>
      <c r="I385" s="40"/>
      <c r="J385" s="44"/>
      <c r="K385" s="45"/>
    </row>
    <row r="386" spans="2:11" ht="12.75">
      <c r="B386" s="53"/>
      <c r="C386" s="53"/>
      <c r="D386" s="53"/>
      <c r="E386" s="64"/>
      <c r="F386" s="40"/>
      <c r="G386" s="40"/>
      <c r="H386" s="54"/>
      <c r="I386" s="40"/>
      <c r="J386" s="44"/>
      <c r="K386" s="45"/>
    </row>
    <row r="387" spans="2:11" ht="12.75">
      <c r="B387" s="53"/>
      <c r="C387" s="53"/>
      <c r="D387" s="53"/>
      <c r="E387" s="64"/>
      <c r="F387" s="40"/>
      <c r="G387" s="40"/>
      <c r="H387" s="54"/>
      <c r="I387" s="40"/>
      <c r="J387" s="44"/>
      <c r="K387" s="45"/>
    </row>
    <row r="388" spans="2:11" ht="12.75">
      <c r="B388" s="53"/>
      <c r="C388" s="53"/>
      <c r="D388" s="53"/>
      <c r="E388" s="64"/>
      <c r="F388" s="40"/>
      <c r="G388" s="40"/>
      <c r="H388" s="54"/>
      <c r="I388" s="40"/>
      <c r="J388" s="44"/>
      <c r="K388" s="45"/>
    </row>
    <row r="389" spans="2:11" ht="12.75">
      <c r="B389" s="53"/>
      <c r="C389" s="53"/>
      <c r="D389" s="53"/>
      <c r="E389" s="64"/>
      <c r="F389" s="40"/>
      <c r="G389" s="40"/>
      <c r="H389" s="54"/>
      <c r="I389" s="40"/>
      <c r="J389" s="44"/>
      <c r="K389" s="45"/>
    </row>
    <row r="390" spans="2:11" ht="12.75">
      <c r="B390" s="53"/>
      <c r="C390" s="53"/>
      <c r="D390" s="53"/>
      <c r="E390" s="64"/>
      <c r="F390" s="40"/>
      <c r="G390" s="40"/>
      <c r="H390" s="54"/>
      <c r="I390" s="40"/>
      <c r="J390" s="44"/>
      <c r="K390" s="45"/>
    </row>
    <row r="391" spans="2:11" ht="12.75">
      <c r="B391" s="53"/>
      <c r="C391" s="53"/>
      <c r="D391" s="53"/>
      <c r="E391" s="64"/>
      <c r="F391" s="40"/>
      <c r="G391" s="40"/>
      <c r="H391" s="54"/>
      <c r="I391" s="40"/>
      <c r="J391" s="44"/>
      <c r="K391" s="45"/>
    </row>
    <row r="392" spans="2:11" ht="12.75">
      <c r="B392" s="53"/>
      <c r="C392" s="53"/>
      <c r="D392" s="53"/>
      <c r="E392" s="64"/>
      <c r="F392" s="40"/>
      <c r="G392" s="40"/>
      <c r="H392" s="54"/>
      <c r="I392" s="40"/>
      <c r="J392" s="44"/>
      <c r="K392" s="45"/>
    </row>
    <row r="393" spans="2:11" ht="12.75">
      <c r="B393" s="53"/>
      <c r="C393" s="53"/>
      <c r="D393" s="53"/>
      <c r="E393" s="64"/>
      <c r="F393" s="40"/>
      <c r="G393" s="40"/>
      <c r="H393" s="54"/>
      <c r="I393" s="40"/>
      <c r="J393" s="44"/>
      <c r="K393" s="45"/>
    </row>
    <row r="394" spans="2:11" ht="12.75">
      <c r="B394" s="53"/>
      <c r="C394" s="53"/>
      <c r="D394" s="53"/>
      <c r="E394" s="64"/>
      <c r="F394" s="40"/>
      <c r="G394" s="40"/>
      <c r="H394" s="54"/>
      <c r="I394" s="40"/>
      <c r="J394" s="44"/>
      <c r="K394" s="45"/>
    </row>
    <row r="395" spans="2:11" ht="12.75">
      <c r="B395" s="53"/>
      <c r="C395" s="53"/>
      <c r="D395" s="53"/>
      <c r="E395" s="64"/>
      <c r="F395" s="40"/>
      <c r="G395" s="40"/>
      <c r="H395" s="54"/>
      <c r="I395" s="40"/>
      <c r="J395" s="44"/>
      <c r="K395" s="45"/>
    </row>
    <row r="396" spans="2:11" ht="12.75">
      <c r="B396" s="53"/>
      <c r="C396" s="53"/>
      <c r="D396" s="53"/>
      <c r="E396" s="64"/>
      <c r="F396" s="40"/>
      <c r="G396" s="40"/>
      <c r="H396" s="54"/>
      <c r="I396" s="40"/>
      <c r="J396" s="44"/>
      <c r="K396" s="45"/>
    </row>
    <row r="397" spans="2:11" ht="12.75">
      <c r="B397" s="53"/>
      <c r="C397" s="53"/>
      <c r="D397" s="53"/>
      <c r="E397" s="64"/>
      <c r="F397" s="40"/>
      <c r="G397" s="40"/>
      <c r="H397" s="54"/>
      <c r="I397" s="40"/>
      <c r="J397" s="44"/>
      <c r="K397" s="45"/>
    </row>
    <row r="398" spans="2:11" ht="12.75">
      <c r="B398" s="53"/>
      <c r="C398" s="53"/>
      <c r="D398" s="53"/>
      <c r="E398" s="64"/>
      <c r="F398" s="40"/>
      <c r="G398" s="40"/>
      <c r="H398" s="54"/>
      <c r="I398" s="40"/>
      <c r="J398" s="44"/>
      <c r="K398" s="45"/>
    </row>
    <row r="399" spans="2:11" ht="12.75">
      <c r="B399" s="53"/>
      <c r="C399" s="53"/>
      <c r="D399" s="53"/>
      <c r="E399" s="64"/>
      <c r="F399" s="40"/>
      <c r="G399" s="40"/>
      <c r="H399" s="54"/>
      <c r="I399" s="40"/>
      <c r="J399" s="44"/>
      <c r="K399" s="45"/>
    </row>
    <row r="402" spans="2:11" ht="20.25">
      <c r="B402" s="42"/>
      <c r="C402" s="42"/>
      <c r="D402" s="42"/>
      <c r="E402" s="41"/>
      <c r="I402" s="43"/>
      <c r="J402" s="43"/>
      <c r="K402" s="43"/>
    </row>
    <row r="403" spans="2:11" ht="20.25">
      <c r="B403" s="43"/>
      <c r="C403" s="43"/>
      <c r="D403" s="43"/>
      <c r="E403" s="43"/>
      <c r="F403" s="43"/>
      <c r="G403" s="43"/>
      <c r="H403" s="43"/>
      <c r="I403" s="43"/>
      <c r="J403" s="43"/>
      <c r="K403" s="43"/>
    </row>
    <row r="404" spans="2:11" ht="42.75" customHeight="1">
      <c r="B404" s="506"/>
      <c r="C404" s="506"/>
      <c r="D404" s="506"/>
      <c r="E404" s="506"/>
      <c r="F404" s="506"/>
      <c r="G404" s="43"/>
      <c r="H404" s="43"/>
      <c r="I404" s="43"/>
      <c r="J404" s="43"/>
      <c r="K404" s="43"/>
    </row>
    <row r="405" spans="2:11" ht="12.75">
      <c r="B405" s="55"/>
      <c r="C405" s="55"/>
      <c r="D405" s="55"/>
      <c r="E405" s="55"/>
      <c r="F405" s="55"/>
      <c r="G405" s="55"/>
      <c r="H405" s="55"/>
      <c r="I405" s="56"/>
      <c r="J405" s="56"/>
      <c r="K405" s="510"/>
    </row>
    <row r="406" spans="2:11" ht="12.75">
      <c r="B406" s="55"/>
      <c r="C406" s="55"/>
      <c r="D406" s="55"/>
      <c r="E406" s="55"/>
      <c r="F406" s="55"/>
      <c r="G406" s="55"/>
      <c r="H406" s="55"/>
      <c r="I406" s="56"/>
      <c r="J406" s="56"/>
      <c r="K406" s="510"/>
    </row>
    <row r="407" spans="2:11" ht="12.75">
      <c r="B407"/>
      <c r="C407"/>
      <c r="D407"/>
      <c r="E407"/>
      <c r="F407"/>
      <c r="G407"/>
      <c r="H407"/>
      <c r="I407"/>
      <c r="J407" s="40"/>
      <c r="K407"/>
    </row>
    <row r="408" spans="2:11" ht="12.75">
      <c r="B408"/>
      <c r="C408"/>
      <c r="D408"/>
      <c r="E408"/>
      <c r="F408"/>
      <c r="G408"/>
      <c r="H408"/>
      <c r="I408" s="47"/>
      <c r="J408" s="57"/>
      <c r="K408" s="40"/>
    </row>
    <row r="409" spans="2:11" ht="12.75">
      <c r="B409"/>
      <c r="C409"/>
      <c r="D409"/>
      <c r="E409"/>
      <c r="F409"/>
      <c r="G409"/>
      <c r="H409"/>
      <c r="I409" s="48"/>
      <c r="J409" s="57"/>
      <c r="K409" s="40"/>
    </row>
    <row r="410" spans="2:11" ht="12.75">
      <c r="B410"/>
      <c r="C410"/>
      <c r="D410"/>
      <c r="E410"/>
      <c r="F410"/>
      <c r="G410"/>
      <c r="H410"/>
      <c r="I410" s="49"/>
      <c r="J410" s="57"/>
      <c r="K410" s="40"/>
    </row>
    <row r="411" spans="2:11" ht="12.75">
      <c r="B411"/>
      <c r="C411"/>
      <c r="D411"/>
      <c r="E411"/>
      <c r="F411"/>
      <c r="G411"/>
      <c r="H411"/>
      <c r="I411" s="49"/>
      <c r="J411" s="57"/>
      <c r="K411" s="40"/>
    </row>
    <row r="412" spans="2:11" ht="12.75">
      <c r="B412"/>
      <c r="C412"/>
      <c r="D412"/>
      <c r="E412"/>
      <c r="F412"/>
      <c r="G412"/>
      <c r="H412"/>
      <c r="I412" s="49"/>
      <c r="J412" s="57"/>
      <c r="K412" s="40"/>
    </row>
    <row r="413" spans="2:11" ht="12.75">
      <c r="B413"/>
      <c r="C413"/>
      <c r="D413"/>
      <c r="E413"/>
      <c r="F413"/>
      <c r="G413"/>
      <c r="H413"/>
      <c r="I413" s="49"/>
      <c r="J413" s="57"/>
      <c r="K413" s="40"/>
    </row>
    <row r="414" spans="2:11" ht="12.75">
      <c r="B414"/>
      <c r="C414"/>
      <c r="D414"/>
      <c r="E414"/>
      <c r="F414"/>
      <c r="G414"/>
      <c r="H414"/>
      <c r="I414"/>
      <c r="J414"/>
      <c r="K414"/>
    </row>
    <row r="415" spans="2:11" ht="12.75">
      <c r="B415" s="55"/>
      <c r="C415" s="55"/>
      <c r="D415" s="55"/>
      <c r="E415" s="55"/>
      <c r="F415" s="55"/>
      <c r="G415" s="55"/>
      <c r="H415" s="55"/>
      <c r="I415" s="509"/>
      <c r="J415" s="58"/>
      <c r="K415" s="58"/>
    </row>
    <row r="416" spans="2:11" ht="12.75">
      <c r="B416" s="55"/>
      <c r="C416" s="55"/>
      <c r="D416" s="55"/>
      <c r="E416" s="55"/>
      <c r="F416" s="55"/>
      <c r="G416" s="55"/>
      <c r="H416" s="55"/>
      <c r="I416" s="509"/>
      <c r="J416" s="58"/>
      <c r="K416" s="58"/>
    </row>
    <row r="417" spans="2:11" ht="12.75">
      <c r="B417" s="50"/>
      <c r="C417" s="50"/>
      <c r="D417" s="50"/>
      <c r="E417"/>
      <c r="F417" s="51"/>
      <c r="G417" s="51"/>
      <c r="H417"/>
      <c r="I417" s="51"/>
      <c r="J417" s="59"/>
      <c r="K417" s="40"/>
    </row>
    <row r="418" spans="2:11" ht="12.75">
      <c r="B418"/>
      <c r="C418"/>
      <c r="D418"/>
      <c r="E418"/>
      <c r="F418"/>
      <c r="G418"/>
      <c r="H418"/>
      <c r="I418" s="40"/>
      <c r="J418" s="40"/>
      <c r="K418" s="57"/>
    </row>
    <row r="419" spans="2:11" ht="12.75">
      <c r="B419"/>
      <c r="C419"/>
      <c r="D419"/>
      <c r="E419"/>
      <c r="F419"/>
      <c r="G419"/>
      <c r="H419"/>
      <c r="I419" s="57"/>
      <c r="J419" s="40"/>
      <c r="K419" s="40"/>
    </row>
    <row r="420" spans="2:11" ht="12.75">
      <c r="B420"/>
      <c r="C420"/>
      <c r="D420"/>
      <c r="E420"/>
      <c r="F420"/>
      <c r="G420"/>
      <c r="H420"/>
      <c r="I420" s="38"/>
      <c r="J420" s="40"/>
      <c r="K420" s="40"/>
    </row>
    <row r="421" spans="2:11" ht="12.75">
      <c r="B421"/>
      <c r="C421"/>
      <c r="D421"/>
      <c r="E421"/>
      <c r="F421"/>
      <c r="G421"/>
      <c r="H421"/>
      <c r="I421" s="60"/>
      <c r="J421" s="40"/>
      <c r="K421" s="40"/>
    </row>
    <row r="422" spans="2:11" ht="12.75">
      <c r="B422"/>
      <c r="C422"/>
      <c r="D422"/>
      <c r="E422"/>
      <c r="F422"/>
      <c r="G422"/>
      <c r="H422" s="40"/>
      <c r="I422"/>
      <c r="J422"/>
      <c r="K422"/>
    </row>
    <row r="423" spans="2:11" ht="12.75">
      <c r="B423" s="52"/>
      <c r="C423" s="52"/>
      <c r="D423" s="52"/>
      <c r="E423"/>
      <c r="F423"/>
      <c r="G423"/>
      <c r="H423" s="40"/>
      <c r="I423"/>
      <c r="J423"/>
      <c r="K423"/>
    </row>
    <row r="424" spans="2:11" ht="12.75">
      <c r="B424"/>
      <c r="C424"/>
      <c r="D424"/>
      <c r="E424" s="61"/>
      <c r="F424"/>
      <c r="G424"/>
      <c r="H424"/>
      <c r="I424"/>
      <c r="J424"/>
      <c r="K424"/>
    </row>
    <row r="425" spans="2:11" ht="12.75">
      <c r="B425" s="507"/>
      <c r="C425" s="62"/>
      <c r="D425" s="62"/>
      <c r="E425" s="62"/>
      <c r="F425" s="62"/>
      <c r="G425" s="507"/>
      <c r="H425" s="507"/>
      <c r="I425" s="507"/>
      <c r="J425" s="507"/>
      <c r="K425" s="507"/>
    </row>
    <row r="426" spans="2:11" ht="12.75">
      <c r="B426" s="507"/>
      <c r="C426" s="62"/>
      <c r="D426" s="62"/>
      <c r="E426" s="62"/>
      <c r="F426" s="62"/>
      <c r="G426" s="62"/>
      <c r="H426" s="62"/>
      <c r="I426" s="508"/>
      <c r="J426" s="508"/>
      <c r="K426" s="508"/>
    </row>
    <row r="427" spans="2:11" ht="12.75">
      <c r="B427" s="53"/>
      <c r="C427" s="53"/>
      <c r="D427" s="53"/>
      <c r="E427" s="63"/>
      <c r="F427" s="40"/>
      <c r="G427" s="40"/>
      <c r="H427" s="54"/>
      <c r="I427" s="40"/>
      <c r="J427" s="40"/>
      <c r="K427" s="45"/>
    </row>
    <row r="428" spans="2:11" ht="12.75">
      <c r="B428" s="53"/>
      <c r="C428" s="53"/>
      <c r="D428" s="53"/>
      <c r="E428" s="63"/>
      <c r="F428" s="40"/>
      <c r="G428" s="40"/>
      <c r="H428" s="54"/>
      <c r="I428" s="40"/>
      <c r="J428" s="44"/>
      <c r="K428" s="45"/>
    </row>
    <row r="429" spans="2:11" ht="12.75">
      <c r="B429" s="53"/>
      <c r="C429" s="53"/>
      <c r="D429" s="53"/>
      <c r="E429" s="63"/>
      <c r="F429" s="40"/>
      <c r="G429" s="40"/>
      <c r="H429" s="54"/>
      <c r="I429" s="40"/>
      <c r="J429" s="44"/>
      <c r="K429"/>
    </row>
    <row r="430" spans="2:11" ht="12.75">
      <c r="B430" s="53"/>
      <c r="C430" s="53"/>
      <c r="D430" s="53"/>
      <c r="E430" s="63"/>
      <c r="F430" s="40"/>
      <c r="G430" s="40"/>
      <c r="H430" s="54"/>
      <c r="I430" s="40"/>
      <c r="J430" s="44"/>
      <c r="K430" s="45"/>
    </row>
    <row r="431" spans="2:11" ht="12.75">
      <c r="B431" s="53"/>
      <c r="C431" s="53"/>
      <c r="D431" s="53"/>
      <c r="E431" s="64"/>
      <c r="F431" s="40"/>
      <c r="G431" s="40"/>
      <c r="H431" s="54"/>
      <c r="I431" s="40"/>
      <c r="J431" s="44"/>
      <c r="K431" s="45"/>
    </row>
    <row r="432" spans="2:11" ht="12.75">
      <c r="B432" s="53"/>
      <c r="C432" s="53"/>
      <c r="D432" s="53"/>
      <c r="E432" s="64"/>
      <c r="F432" s="40"/>
      <c r="G432" s="40"/>
      <c r="H432" s="54"/>
      <c r="I432" s="40"/>
      <c r="J432" s="44"/>
      <c r="K432" s="45"/>
    </row>
    <row r="433" spans="2:11" ht="12.75">
      <c r="B433" s="53"/>
      <c r="C433" s="53"/>
      <c r="D433" s="53"/>
      <c r="E433" s="64"/>
      <c r="F433" s="40"/>
      <c r="G433" s="40"/>
      <c r="H433" s="54"/>
      <c r="I433" s="40"/>
      <c r="J433" s="44"/>
      <c r="K433" s="45"/>
    </row>
    <row r="434" spans="2:11" ht="12.75">
      <c r="B434" s="53"/>
      <c r="C434" s="53"/>
      <c r="D434" s="53"/>
      <c r="E434" s="64"/>
      <c r="F434" s="40"/>
      <c r="G434" s="40"/>
      <c r="H434" s="54"/>
      <c r="I434" s="40"/>
      <c r="J434" s="44"/>
      <c r="K434" s="45"/>
    </row>
    <row r="435" spans="2:11" ht="12.75">
      <c r="B435" s="53"/>
      <c r="C435" s="53"/>
      <c r="D435" s="53"/>
      <c r="E435" s="64"/>
      <c r="F435" s="40"/>
      <c r="G435" s="40"/>
      <c r="H435" s="54"/>
      <c r="I435" s="40"/>
      <c r="J435" s="44"/>
      <c r="K435" s="45"/>
    </row>
    <row r="436" spans="2:11" ht="12.75">
      <c r="B436" s="53"/>
      <c r="C436" s="53"/>
      <c r="D436" s="53"/>
      <c r="E436" s="64"/>
      <c r="F436" s="40"/>
      <c r="G436" s="40"/>
      <c r="H436" s="54"/>
      <c r="I436" s="40"/>
      <c r="J436" s="44"/>
      <c r="K436" s="45"/>
    </row>
    <row r="437" spans="2:11" ht="12.75">
      <c r="B437" s="53"/>
      <c r="C437" s="53"/>
      <c r="D437" s="53"/>
      <c r="E437" s="64"/>
      <c r="F437" s="40"/>
      <c r="G437" s="40"/>
      <c r="H437" s="54"/>
      <c r="I437" s="40"/>
      <c r="J437" s="44"/>
      <c r="K437" s="45"/>
    </row>
    <row r="438" spans="2:11" ht="12.75">
      <c r="B438" s="53"/>
      <c r="C438" s="53"/>
      <c r="D438" s="53"/>
      <c r="E438" s="64"/>
      <c r="F438" s="40"/>
      <c r="G438" s="40"/>
      <c r="H438" s="54"/>
      <c r="I438" s="40"/>
      <c r="J438" s="44"/>
      <c r="K438" s="45"/>
    </row>
    <row r="439" spans="2:11" ht="12.75">
      <c r="B439" s="53"/>
      <c r="C439" s="53"/>
      <c r="D439" s="53"/>
      <c r="E439" s="64"/>
      <c r="F439" s="40"/>
      <c r="G439" s="40"/>
      <c r="H439" s="54"/>
      <c r="I439" s="40"/>
      <c r="J439" s="44"/>
      <c r="K439" s="45"/>
    </row>
    <row r="440" spans="2:11" ht="12.75">
      <c r="B440" s="53"/>
      <c r="C440" s="53"/>
      <c r="D440" s="53"/>
      <c r="E440" s="64"/>
      <c r="F440" s="40"/>
      <c r="G440" s="40"/>
      <c r="H440" s="54"/>
      <c r="I440" s="40"/>
      <c r="J440" s="44"/>
      <c r="K440" s="45"/>
    </row>
    <row r="441" spans="2:11" ht="12.75">
      <c r="B441" s="53"/>
      <c r="C441" s="53"/>
      <c r="D441" s="53"/>
      <c r="E441" s="64"/>
      <c r="F441" s="40"/>
      <c r="G441" s="40"/>
      <c r="H441" s="54"/>
      <c r="I441" s="40"/>
      <c r="J441" s="44"/>
      <c r="K441" s="45"/>
    </row>
    <row r="442" spans="2:11" ht="12.75">
      <c r="B442" s="53"/>
      <c r="C442" s="53"/>
      <c r="D442" s="53"/>
      <c r="E442" s="64"/>
      <c r="F442" s="40"/>
      <c r="G442" s="40"/>
      <c r="H442" s="54"/>
      <c r="I442" s="40"/>
      <c r="J442" s="44"/>
      <c r="K442" s="45"/>
    </row>
    <row r="443" spans="2:11" ht="12.75">
      <c r="B443" s="53"/>
      <c r="C443" s="53"/>
      <c r="D443" s="53"/>
      <c r="E443" s="64"/>
      <c r="F443" s="40"/>
      <c r="G443" s="40"/>
      <c r="H443" s="54"/>
      <c r="I443" s="40"/>
      <c r="J443" s="44"/>
      <c r="K443" s="45"/>
    </row>
    <row r="444" spans="2:11" ht="12.75">
      <c r="B444" s="53"/>
      <c r="C444" s="53"/>
      <c r="D444" s="53"/>
      <c r="E444" s="64"/>
      <c r="F444" s="40"/>
      <c r="G444" s="40"/>
      <c r="H444" s="54"/>
      <c r="I444" s="40"/>
      <c r="J444" s="44"/>
      <c r="K444" s="45"/>
    </row>
    <row r="445" spans="2:11" ht="12.75">
      <c r="B445" s="53"/>
      <c r="C445" s="53"/>
      <c r="D445" s="53"/>
      <c r="E445" s="64"/>
      <c r="F445" s="40"/>
      <c r="G445" s="40"/>
      <c r="H445" s="54"/>
      <c r="I445" s="40"/>
      <c r="J445" s="44"/>
      <c r="K445" s="45"/>
    </row>
    <row r="446" spans="2:11" ht="12.75">
      <c r="B446" s="53"/>
      <c r="C446" s="53"/>
      <c r="D446" s="53"/>
      <c r="E446" s="64"/>
      <c r="F446" s="40"/>
      <c r="G446" s="40"/>
      <c r="H446" s="54"/>
      <c r="I446" s="40"/>
      <c r="J446" s="44"/>
      <c r="K446" s="45"/>
    </row>
    <row r="447" spans="2:11" ht="12.75">
      <c r="B447" s="53"/>
      <c r="C447" s="53"/>
      <c r="D447" s="53"/>
      <c r="E447" s="64"/>
      <c r="F447" s="40"/>
      <c r="G447" s="40"/>
      <c r="H447" s="54"/>
      <c r="I447" s="40"/>
      <c r="J447" s="44"/>
      <c r="K447" s="45"/>
    </row>
    <row r="448" spans="2:11" ht="12.75">
      <c r="B448" s="53"/>
      <c r="C448" s="53"/>
      <c r="D448" s="53"/>
      <c r="E448" s="64"/>
      <c r="F448" s="40"/>
      <c r="G448" s="40"/>
      <c r="H448" s="54"/>
      <c r="I448" s="40"/>
      <c r="J448" s="44"/>
      <c r="K448" s="45"/>
    </row>
    <row r="449" spans="2:11" ht="12.75">
      <c r="B449" s="53"/>
      <c r="C449" s="53"/>
      <c r="D449" s="53"/>
      <c r="E449" s="64"/>
      <c r="F449" s="40"/>
      <c r="G449" s="40"/>
      <c r="H449" s="54"/>
      <c r="I449" s="40"/>
      <c r="J449" s="44"/>
      <c r="K449" s="45"/>
    </row>
    <row r="450" spans="2:11" ht="12.75">
      <c r="B450" s="53"/>
      <c r="C450" s="53"/>
      <c r="D450" s="53"/>
      <c r="E450" s="64"/>
      <c r="F450" s="40"/>
      <c r="G450" s="40"/>
      <c r="H450" s="54"/>
      <c r="I450" s="40"/>
      <c r="J450" s="44"/>
      <c r="K450" s="45"/>
    </row>
    <row r="451" spans="2:11" ht="12.75">
      <c r="B451" s="53"/>
      <c r="C451" s="53"/>
      <c r="D451" s="53"/>
      <c r="E451" s="64"/>
      <c r="F451" s="40"/>
      <c r="G451" s="40"/>
      <c r="H451" s="54"/>
      <c r="I451" s="40"/>
      <c r="J451" s="44"/>
      <c r="K451" s="45"/>
    </row>
    <row r="453" spans="2:11" ht="20.25">
      <c r="B453" s="42"/>
      <c r="C453" s="42"/>
      <c r="D453" s="42"/>
      <c r="E453" s="41"/>
      <c r="I453" s="43"/>
      <c r="J453" s="43"/>
      <c r="K453" s="43"/>
    </row>
    <row r="454" spans="2:11" ht="41.25" customHeight="1">
      <c r="B454" s="506"/>
      <c r="C454" s="506"/>
      <c r="D454" s="506"/>
      <c r="E454" s="506"/>
      <c r="F454" s="506"/>
      <c r="G454" s="43"/>
      <c r="H454" s="43"/>
      <c r="I454" s="43"/>
      <c r="J454" s="43"/>
      <c r="K454" s="43"/>
    </row>
    <row r="455" spans="2:11" ht="12.75">
      <c r="B455" s="55"/>
      <c r="C455" s="55"/>
      <c r="D455" s="55"/>
      <c r="E455" s="55"/>
      <c r="F455" s="55"/>
      <c r="G455" s="55"/>
      <c r="H455" s="55"/>
      <c r="I455" s="56"/>
      <c r="J455" s="56"/>
      <c r="K455" s="510"/>
    </row>
    <row r="456" spans="2:11" ht="12.75">
      <c r="B456" s="55"/>
      <c r="C456" s="55"/>
      <c r="D456" s="55"/>
      <c r="E456" s="55"/>
      <c r="F456" s="55"/>
      <c r="G456" s="55"/>
      <c r="H456" s="55"/>
      <c r="I456" s="56"/>
      <c r="J456" s="56"/>
      <c r="K456" s="510"/>
    </row>
    <row r="457" spans="2:11" ht="12.75">
      <c r="B457"/>
      <c r="C457"/>
      <c r="D457"/>
      <c r="E457"/>
      <c r="F457"/>
      <c r="G457"/>
      <c r="H457"/>
      <c r="I457"/>
      <c r="J457" s="40"/>
      <c r="K457"/>
    </row>
    <row r="458" spans="2:11" ht="12.75">
      <c r="B458"/>
      <c r="C458"/>
      <c r="D458"/>
      <c r="E458"/>
      <c r="F458"/>
      <c r="G458"/>
      <c r="H458"/>
      <c r="I458" s="47"/>
      <c r="J458" s="57"/>
      <c r="K458" s="40"/>
    </row>
    <row r="459" spans="2:11" ht="12.75">
      <c r="B459"/>
      <c r="C459"/>
      <c r="D459"/>
      <c r="E459"/>
      <c r="F459"/>
      <c r="G459"/>
      <c r="H459"/>
      <c r="I459" s="48"/>
      <c r="J459" s="57"/>
      <c r="K459" s="40"/>
    </row>
    <row r="460" spans="2:11" ht="12.75">
      <c r="B460"/>
      <c r="C460"/>
      <c r="D460"/>
      <c r="E460"/>
      <c r="F460"/>
      <c r="G460"/>
      <c r="H460"/>
      <c r="I460" s="49"/>
      <c r="J460" s="57"/>
      <c r="K460" s="40"/>
    </row>
    <row r="461" spans="2:11" ht="12.75">
      <c r="B461"/>
      <c r="C461"/>
      <c r="D461"/>
      <c r="E461"/>
      <c r="F461"/>
      <c r="G461"/>
      <c r="H461"/>
      <c r="I461" s="49"/>
      <c r="J461" s="57"/>
      <c r="K461" s="40"/>
    </row>
    <row r="462" spans="2:11" ht="12.75">
      <c r="B462"/>
      <c r="C462"/>
      <c r="D462"/>
      <c r="E462"/>
      <c r="F462"/>
      <c r="G462"/>
      <c r="H462"/>
      <c r="I462" s="49"/>
      <c r="J462" s="57"/>
      <c r="K462" s="40"/>
    </row>
    <row r="463" spans="2:11" ht="12.75">
      <c r="B463"/>
      <c r="C463"/>
      <c r="D463"/>
      <c r="E463"/>
      <c r="F463"/>
      <c r="G463"/>
      <c r="H463"/>
      <c r="I463" s="49"/>
      <c r="J463" s="57"/>
      <c r="K463" s="40"/>
    </row>
    <row r="464" spans="2:11" ht="12.75">
      <c r="B464"/>
      <c r="C464"/>
      <c r="D464"/>
      <c r="E464"/>
      <c r="F464"/>
      <c r="G464"/>
      <c r="H464"/>
      <c r="I464"/>
      <c r="J464"/>
      <c r="K464"/>
    </row>
    <row r="465" spans="2:11" ht="12.75">
      <c r="B465" s="55"/>
      <c r="C465" s="55"/>
      <c r="D465" s="55"/>
      <c r="E465" s="55"/>
      <c r="F465" s="55"/>
      <c r="G465" s="55"/>
      <c r="H465" s="55"/>
      <c r="I465" s="509"/>
      <c r="J465" s="58"/>
      <c r="K465" s="58"/>
    </row>
    <row r="466" spans="2:11" ht="12.75">
      <c r="B466" s="55"/>
      <c r="C466" s="55"/>
      <c r="D466" s="55"/>
      <c r="E466" s="55"/>
      <c r="F466" s="55"/>
      <c r="G466" s="55"/>
      <c r="H466" s="55"/>
      <c r="I466" s="509"/>
      <c r="J466" s="58"/>
      <c r="K466" s="58"/>
    </row>
    <row r="467" spans="2:11" ht="12.75">
      <c r="B467" s="50"/>
      <c r="C467" s="50"/>
      <c r="D467" s="50"/>
      <c r="E467"/>
      <c r="F467" s="51"/>
      <c r="G467" s="51"/>
      <c r="H467"/>
      <c r="I467" s="51"/>
      <c r="J467" s="59"/>
      <c r="K467" s="40"/>
    </row>
    <row r="468" spans="2:11" ht="12.75">
      <c r="B468"/>
      <c r="C468"/>
      <c r="D468"/>
      <c r="E468"/>
      <c r="F468"/>
      <c r="G468"/>
      <c r="H468"/>
      <c r="I468" s="40"/>
      <c r="J468" s="40"/>
      <c r="K468" s="57"/>
    </row>
    <row r="469" spans="2:11" ht="12.75">
      <c r="B469"/>
      <c r="C469"/>
      <c r="D469"/>
      <c r="E469"/>
      <c r="F469"/>
      <c r="G469"/>
      <c r="H469"/>
      <c r="I469" s="57"/>
      <c r="J469" s="40"/>
      <c r="K469" s="40"/>
    </row>
    <row r="470" spans="2:11" ht="12.75">
      <c r="B470"/>
      <c r="C470"/>
      <c r="D470"/>
      <c r="E470"/>
      <c r="F470"/>
      <c r="G470"/>
      <c r="H470"/>
      <c r="I470" s="38"/>
      <c r="J470" s="40"/>
      <c r="K470" s="40"/>
    </row>
    <row r="471" spans="2:11" ht="12.75">
      <c r="B471"/>
      <c r="C471"/>
      <c r="D471"/>
      <c r="E471"/>
      <c r="F471"/>
      <c r="G471"/>
      <c r="H471"/>
      <c r="I471" s="60"/>
      <c r="J471" s="40"/>
      <c r="K471" s="40"/>
    </row>
    <row r="472" spans="2:11" ht="12.75">
      <c r="B472"/>
      <c r="C472"/>
      <c r="D472"/>
      <c r="E472"/>
      <c r="F472"/>
      <c r="G472"/>
      <c r="H472" s="40"/>
      <c r="I472"/>
      <c r="J472"/>
      <c r="K472"/>
    </row>
    <row r="473" spans="2:11" ht="12.75">
      <c r="B473" s="52"/>
      <c r="C473" s="52"/>
      <c r="D473" s="52"/>
      <c r="E473"/>
      <c r="F473"/>
      <c r="G473"/>
      <c r="H473" s="40"/>
      <c r="I473"/>
      <c r="J473"/>
      <c r="K473"/>
    </row>
    <row r="474" spans="2:11" ht="12.75">
      <c r="B474"/>
      <c r="C474"/>
      <c r="D474"/>
      <c r="E474" s="61"/>
      <c r="F474"/>
      <c r="G474"/>
      <c r="H474"/>
      <c r="I474"/>
      <c r="J474"/>
      <c r="K474"/>
    </row>
    <row r="475" spans="2:11" ht="12.75">
      <c r="B475" s="507"/>
      <c r="C475" s="62"/>
      <c r="D475" s="62"/>
      <c r="E475" s="62"/>
      <c r="F475" s="62"/>
      <c r="G475" s="507"/>
      <c r="H475" s="507"/>
      <c r="I475" s="507"/>
      <c r="J475" s="507"/>
      <c r="K475" s="507"/>
    </row>
    <row r="476" spans="2:11" ht="12.75">
      <c r="B476" s="507"/>
      <c r="C476" s="62"/>
      <c r="D476" s="62"/>
      <c r="E476" s="62"/>
      <c r="F476" s="62"/>
      <c r="G476" s="62"/>
      <c r="H476" s="62"/>
      <c r="I476" s="508"/>
      <c r="J476" s="508"/>
      <c r="K476" s="508"/>
    </row>
    <row r="477" spans="2:11" ht="12.75">
      <c r="B477" s="53"/>
      <c r="C477" s="53"/>
      <c r="D477" s="53"/>
      <c r="E477" s="63"/>
      <c r="F477" s="40"/>
      <c r="G477" s="40"/>
      <c r="H477" s="54"/>
      <c r="I477" s="40"/>
      <c r="J477" s="40"/>
      <c r="K477" s="45"/>
    </row>
    <row r="478" spans="2:11" ht="12.75">
      <c r="B478" s="53"/>
      <c r="C478" s="53"/>
      <c r="D478" s="53"/>
      <c r="E478" s="63"/>
      <c r="F478" s="40"/>
      <c r="G478" s="40"/>
      <c r="H478" s="54"/>
      <c r="I478" s="40"/>
      <c r="J478" s="44"/>
      <c r="K478" s="45"/>
    </row>
    <row r="479" spans="2:11" ht="12.75">
      <c r="B479" s="53"/>
      <c r="C479" s="53"/>
      <c r="D479" s="53"/>
      <c r="E479" s="63"/>
      <c r="F479" s="40"/>
      <c r="G479" s="40"/>
      <c r="H479" s="54"/>
      <c r="I479" s="40"/>
      <c r="J479" s="44"/>
      <c r="K479"/>
    </row>
    <row r="480" spans="2:11" ht="12.75">
      <c r="B480" s="53"/>
      <c r="C480" s="53"/>
      <c r="D480" s="53"/>
      <c r="E480" s="63"/>
      <c r="F480" s="40"/>
      <c r="G480" s="40"/>
      <c r="H480" s="54"/>
      <c r="I480" s="40"/>
      <c r="J480" s="44"/>
      <c r="K480" s="45"/>
    </row>
    <row r="481" spans="2:11" ht="12.75">
      <c r="B481" s="53"/>
      <c r="C481" s="53"/>
      <c r="D481" s="53"/>
      <c r="E481" s="64"/>
      <c r="F481" s="40"/>
      <c r="G481" s="40"/>
      <c r="H481" s="54"/>
      <c r="I481" s="40"/>
      <c r="J481" s="44"/>
      <c r="K481" s="45"/>
    </row>
    <row r="482" spans="2:11" ht="12.75">
      <c r="B482" s="53"/>
      <c r="C482" s="53"/>
      <c r="D482" s="53"/>
      <c r="E482" s="64"/>
      <c r="F482" s="40"/>
      <c r="G482" s="40"/>
      <c r="H482" s="54"/>
      <c r="I482" s="40"/>
      <c r="J482" s="44"/>
      <c r="K482" s="45"/>
    </row>
    <row r="483" spans="2:11" ht="12.75">
      <c r="B483" s="53"/>
      <c r="C483" s="53"/>
      <c r="D483" s="53"/>
      <c r="E483" s="64"/>
      <c r="F483" s="40"/>
      <c r="G483" s="40"/>
      <c r="H483" s="54"/>
      <c r="I483" s="40"/>
      <c r="J483" s="44"/>
      <c r="K483" s="45"/>
    </row>
    <row r="484" spans="2:11" ht="12.75">
      <c r="B484" s="53"/>
      <c r="C484" s="53"/>
      <c r="D484" s="53"/>
      <c r="E484" s="64"/>
      <c r="F484" s="40"/>
      <c r="G484" s="40"/>
      <c r="H484" s="54"/>
      <c r="I484" s="40"/>
      <c r="J484" s="44"/>
      <c r="K484" s="45"/>
    </row>
    <row r="485" spans="2:11" ht="12.75">
      <c r="B485" s="53"/>
      <c r="C485" s="53"/>
      <c r="D485" s="53"/>
      <c r="E485" s="64"/>
      <c r="F485" s="40"/>
      <c r="G485" s="40"/>
      <c r="H485" s="54"/>
      <c r="I485" s="40"/>
      <c r="J485" s="44"/>
      <c r="K485" s="45"/>
    </row>
    <row r="486" spans="2:11" ht="12.75">
      <c r="B486" s="53"/>
      <c r="C486" s="53"/>
      <c r="D486" s="53"/>
      <c r="E486" s="64"/>
      <c r="F486" s="40"/>
      <c r="G486" s="40"/>
      <c r="H486" s="54"/>
      <c r="I486" s="40"/>
      <c r="J486" s="44"/>
      <c r="K486" s="45"/>
    </row>
    <row r="487" spans="2:11" ht="12.75">
      <c r="B487" s="53"/>
      <c r="C487" s="53"/>
      <c r="D487" s="53"/>
      <c r="E487" s="64"/>
      <c r="F487" s="40"/>
      <c r="G487" s="40"/>
      <c r="H487" s="54"/>
      <c r="I487" s="40"/>
      <c r="J487" s="44"/>
      <c r="K487" s="45"/>
    </row>
    <row r="488" spans="2:11" ht="12.75">
      <c r="B488" s="53"/>
      <c r="C488" s="53"/>
      <c r="D488" s="53"/>
      <c r="E488" s="64"/>
      <c r="F488" s="40"/>
      <c r="G488" s="40"/>
      <c r="H488" s="54"/>
      <c r="I488" s="40"/>
      <c r="J488" s="44"/>
      <c r="K488" s="45"/>
    </row>
    <row r="489" spans="2:11" ht="12.75">
      <c r="B489" s="53"/>
      <c r="C489" s="53"/>
      <c r="D489" s="53"/>
      <c r="E489" s="64"/>
      <c r="F489" s="40"/>
      <c r="G489" s="40"/>
      <c r="H489" s="54"/>
      <c r="I489" s="40"/>
      <c r="J489" s="44"/>
      <c r="K489" s="45"/>
    </row>
    <row r="490" spans="2:11" ht="12.75">
      <c r="B490" s="53"/>
      <c r="C490" s="53"/>
      <c r="D490" s="53"/>
      <c r="E490" s="64"/>
      <c r="F490" s="40"/>
      <c r="G490" s="40"/>
      <c r="H490" s="54"/>
      <c r="I490" s="40"/>
      <c r="J490" s="44"/>
      <c r="K490" s="45"/>
    </row>
    <row r="491" spans="2:11" ht="12.75">
      <c r="B491" s="53"/>
      <c r="C491" s="53"/>
      <c r="D491" s="53"/>
      <c r="E491" s="64"/>
      <c r="F491" s="40"/>
      <c r="G491" s="40"/>
      <c r="H491" s="54"/>
      <c r="I491" s="40"/>
      <c r="J491" s="44"/>
      <c r="K491" s="45"/>
    </row>
    <row r="492" spans="2:11" ht="12.75">
      <c r="B492" s="53"/>
      <c r="C492" s="53"/>
      <c r="D492" s="53"/>
      <c r="E492" s="64"/>
      <c r="F492" s="40"/>
      <c r="G492" s="40"/>
      <c r="H492" s="54"/>
      <c r="I492" s="40"/>
      <c r="J492" s="44"/>
      <c r="K492" s="45"/>
    </row>
    <row r="493" spans="2:11" ht="12.75">
      <c r="B493" s="53"/>
      <c r="C493" s="53"/>
      <c r="D493" s="53"/>
      <c r="E493" s="64"/>
      <c r="F493" s="40"/>
      <c r="G493" s="40"/>
      <c r="H493" s="54"/>
      <c r="I493" s="40"/>
      <c r="J493" s="44"/>
      <c r="K493" s="45"/>
    </row>
    <row r="494" spans="2:11" ht="12.75">
      <c r="B494" s="53"/>
      <c r="C494" s="53"/>
      <c r="D494" s="53"/>
      <c r="E494" s="64"/>
      <c r="F494" s="40"/>
      <c r="G494" s="40"/>
      <c r="H494" s="54"/>
      <c r="I494" s="40"/>
      <c r="J494" s="44"/>
      <c r="K494" s="45"/>
    </row>
    <row r="495" spans="2:11" ht="12.75">
      <c r="B495" s="53"/>
      <c r="C495" s="53"/>
      <c r="D495" s="53"/>
      <c r="E495" s="64"/>
      <c r="F495" s="40"/>
      <c r="G495" s="40"/>
      <c r="H495" s="54"/>
      <c r="I495" s="40"/>
      <c r="J495" s="44"/>
      <c r="K495" s="45"/>
    </row>
    <row r="496" spans="2:11" ht="12.75">
      <c r="B496" s="53"/>
      <c r="C496" s="53"/>
      <c r="D496" s="53"/>
      <c r="E496" s="64"/>
      <c r="F496" s="40"/>
      <c r="G496" s="40"/>
      <c r="H496" s="54"/>
      <c r="I496" s="40"/>
      <c r="J496" s="44"/>
      <c r="K496" s="45"/>
    </row>
    <row r="497" spans="2:11" ht="12.75">
      <c r="B497" s="53"/>
      <c r="C497" s="53"/>
      <c r="D497" s="53"/>
      <c r="E497" s="64"/>
      <c r="F497" s="40"/>
      <c r="G497" s="40"/>
      <c r="H497" s="54"/>
      <c r="I497" s="40"/>
      <c r="J497" s="44"/>
      <c r="K497" s="45"/>
    </row>
    <row r="498" spans="2:11" ht="12.75">
      <c r="B498" s="53"/>
      <c r="C498" s="53"/>
      <c r="D498" s="53"/>
      <c r="E498" s="64"/>
      <c r="F498" s="40"/>
      <c r="G498" s="40"/>
      <c r="H498" s="54"/>
      <c r="I498" s="40"/>
      <c r="J498" s="44"/>
      <c r="K498" s="45"/>
    </row>
    <row r="499" spans="2:11" ht="12.75">
      <c r="B499" s="53"/>
      <c r="C499" s="53"/>
      <c r="D499" s="53"/>
      <c r="E499" s="64"/>
      <c r="F499" s="40"/>
      <c r="G499" s="40"/>
      <c r="H499" s="54"/>
      <c r="I499" s="40"/>
      <c r="J499" s="44"/>
      <c r="K499" s="45"/>
    </row>
    <row r="500" spans="2:11" ht="12.75">
      <c r="B500" s="53"/>
      <c r="C500" s="53"/>
      <c r="D500" s="53"/>
      <c r="E500" s="64"/>
      <c r="F500" s="40"/>
      <c r="G500" s="40"/>
      <c r="H500" s="54"/>
      <c r="I500" s="40"/>
      <c r="J500" s="44"/>
      <c r="K500" s="45"/>
    </row>
    <row r="501" spans="2:11" ht="12.75">
      <c r="B501" s="53"/>
      <c r="C501" s="53"/>
      <c r="D501" s="53"/>
      <c r="E501" s="64"/>
      <c r="F501" s="40"/>
      <c r="G501" s="40"/>
      <c r="H501" s="54"/>
      <c r="I501" s="40"/>
      <c r="J501" s="44"/>
      <c r="K501" s="45"/>
    </row>
    <row r="502" spans="2:11" ht="20.25">
      <c r="B502" s="42"/>
      <c r="C502" s="42"/>
      <c r="D502" s="42"/>
      <c r="E502" s="41"/>
      <c r="I502" s="43"/>
      <c r="J502" s="43"/>
      <c r="K502" s="43"/>
    </row>
    <row r="503" spans="2:11" ht="20.25">
      <c r="B503" s="43"/>
      <c r="C503" s="43"/>
      <c r="D503" s="43"/>
      <c r="E503" s="43"/>
      <c r="F503" s="43"/>
      <c r="G503" s="43"/>
      <c r="H503" s="43"/>
      <c r="I503" s="43"/>
      <c r="J503" s="43"/>
      <c r="K503" s="43"/>
    </row>
    <row r="504" spans="2:11" ht="20.25">
      <c r="B504" s="506"/>
      <c r="C504" s="506"/>
      <c r="D504" s="506"/>
      <c r="E504" s="506"/>
      <c r="F504" s="506"/>
      <c r="G504" s="43"/>
      <c r="H504" s="43"/>
      <c r="I504" s="43"/>
      <c r="J504" s="43"/>
      <c r="K504" s="43"/>
    </row>
    <row r="505" spans="2:11" ht="12.75">
      <c r="B505" s="55"/>
      <c r="C505" s="55"/>
      <c r="D505" s="55"/>
      <c r="E505" s="55"/>
      <c r="F505" s="55"/>
      <c r="G505" s="55"/>
      <c r="H505" s="55"/>
      <c r="I505" s="56"/>
      <c r="J505" s="56"/>
      <c r="K505" s="510"/>
    </row>
    <row r="506" spans="2:11" ht="12.75">
      <c r="B506" s="55"/>
      <c r="C506" s="55"/>
      <c r="D506" s="55"/>
      <c r="E506" s="55"/>
      <c r="F506" s="55"/>
      <c r="G506" s="55"/>
      <c r="H506" s="55"/>
      <c r="I506" s="56"/>
      <c r="J506" s="56"/>
      <c r="K506" s="510"/>
    </row>
    <row r="507" spans="2:11" ht="12.75">
      <c r="B507"/>
      <c r="C507"/>
      <c r="D507"/>
      <c r="E507"/>
      <c r="F507"/>
      <c r="G507"/>
      <c r="H507"/>
      <c r="I507"/>
      <c r="J507" s="40"/>
      <c r="K507"/>
    </row>
    <row r="508" spans="2:11" ht="12.75">
      <c r="B508"/>
      <c r="C508"/>
      <c r="D508"/>
      <c r="E508"/>
      <c r="F508"/>
      <c r="G508"/>
      <c r="H508"/>
      <c r="I508" s="47"/>
      <c r="J508" s="57"/>
      <c r="K508" s="40"/>
    </row>
    <row r="509" spans="2:11" ht="12.75">
      <c r="B509"/>
      <c r="C509"/>
      <c r="D509"/>
      <c r="E509"/>
      <c r="F509"/>
      <c r="G509"/>
      <c r="H509"/>
      <c r="I509" s="48"/>
      <c r="J509" s="57"/>
      <c r="K509" s="40"/>
    </row>
    <row r="510" spans="2:11" ht="12.75">
      <c r="B510"/>
      <c r="C510"/>
      <c r="D510"/>
      <c r="E510"/>
      <c r="F510"/>
      <c r="G510"/>
      <c r="H510"/>
      <c r="I510" s="49"/>
      <c r="J510" s="57"/>
      <c r="K510" s="40"/>
    </row>
    <row r="511" spans="2:11" ht="12.75">
      <c r="B511"/>
      <c r="C511"/>
      <c r="D511"/>
      <c r="E511"/>
      <c r="F511"/>
      <c r="G511"/>
      <c r="H511"/>
      <c r="I511" s="49"/>
      <c r="J511" s="57"/>
      <c r="K511" s="40"/>
    </row>
    <row r="512" spans="2:11" ht="12.75">
      <c r="B512"/>
      <c r="C512"/>
      <c r="D512"/>
      <c r="E512"/>
      <c r="F512"/>
      <c r="G512"/>
      <c r="H512"/>
      <c r="I512" s="49"/>
      <c r="J512" s="57"/>
      <c r="K512" s="40"/>
    </row>
    <row r="513" spans="2:11" ht="12.75">
      <c r="B513"/>
      <c r="C513"/>
      <c r="D513"/>
      <c r="E513"/>
      <c r="F513"/>
      <c r="G513"/>
      <c r="H513"/>
      <c r="I513" s="49"/>
      <c r="J513" s="57"/>
      <c r="K513" s="40"/>
    </row>
    <row r="514" spans="2:11" ht="12.75">
      <c r="B514"/>
      <c r="C514"/>
      <c r="D514"/>
      <c r="E514"/>
      <c r="F514"/>
      <c r="G514"/>
      <c r="H514"/>
      <c r="I514"/>
      <c r="J514"/>
      <c r="K514"/>
    </row>
    <row r="515" spans="2:11" ht="12.75">
      <c r="B515" s="55"/>
      <c r="C515" s="55"/>
      <c r="D515" s="55"/>
      <c r="E515" s="55"/>
      <c r="F515" s="55"/>
      <c r="G515" s="55"/>
      <c r="H515" s="55"/>
      <c r="I515" s="509"/>
      <c r="J515" s="58"/>
      <c r="K515" s="58"/>
    </row>
    <row r="516" spans="2:11" ht="12.75">
      <c r="B516" s="55"/>
      <c r="C516" s="55"/>
      <c r="D516" s="55"/>
      <c r="E516" s="55"/>
      <c r="F516" s="55"/>
      <c r="G516" s="55"/>
      <c r="H516" s="55"/>
      <c r="I516" s="509"/>
      <c r="J516" s="58"/>
      <c r="K516" s="58"/>
    </row>
    <row r="517" spans="2:11" ht="12.75">
      <c r="B517" s="50"/>
      <c r="C517" s="50"/>
      <c r="D517" s="50"/>
      <c r="E517"/>
      <c r="F517" s="51"/>
      <c r="G517" s="51"/>
      <c r="H517"/>
      <c r="I517" s="51"/>
      <c r="J517" s="59"/>
      <c r="K517" s="40"/>
    </row>
    <row r="518" spans="2:11" ht="12.75">
      <c r="B518"/>
      <c r="C518"/>
      <c r="D518"/>
      <c r="E518"/>
      <c r="F518"/>
      <c r="G518"/>
      <c r="H518"/>
      <c r="I518" s="40"/>
      <c r="J518" s="40"/>
      <c r="K518" s="57"/>
    </row>
    <row r="519" spans="2:11" ht="12.75">
      <c r="B519"/>
      <c r="C519"/>
      <c r="D519"/>
      <c r="E519"/>
      <c r="F519"/>
      <c r="G519"/>
      <c r="H519"/>
      <c r="I519" s="57"/>
      <c r="J519" s="40"/>
      <c r="K519" s="40"/>
    </row>
    <row r="520" spans="2:11" ht="12.75">
      <c r="B520"/>
      <c r="C520"/>
      <c r="D520"/>
      <c r="E520"/>
      <c r="F520"/>
      <c r="G520"/>
      <c r="H520"/>
      <c r="I520" s="38"/>
      <c r="J520" s="40"/>
      <c r="K520" s="40"/>
    </row>
    <row r="521" spans="2:11" ht="12.75">
      <c r="B521"/>
      <c r="C521"/>
      <c r="D521"/>
      <c r="E521"/>
      <c r="F521"/>
      <c r="G521"/>
      <c r="H521"/>
      <c r="I521" s="60"/>
      <c r="J521" s="40"/>
      <c r="K521" s="40"/>
    </row>
    <row r="522" spans="2:11" ht="12.75">
      <c r="B522"/>
      <c r="C522"/>
      <c r="D522"/>
      <c r="E522"/>
      <c r="F522"/>
      <c r="G522"/>
      <c r="H522" s="40"/>
      <c r="I522"/>
      <c r="J522"/>
      <c r="K522"/>
    </row>
    <row r="523" spans="2:11" ht="12.75">
      <c r="B523" s="52"/>
      <c r="C523" s="52"/>
      <c r="D523" s="52"/>
      <c r="E523"/>
      <c r="F523"/>
      <c r="G523"/>
      <c r="H523" s="40"/>
      <c r="I523"/>
      <c r="J523"/>
      <c r="K523"/>
    </row>
    <row r="524" spans="2:11" ht="12.75">
      <c r="B524"/>
      <c r="C524"/>
      <c r="D524"/>
      <c r="E524" s="61"/>
      <c r="F524"/>
      <c r="G524"/>
      <c r="H524"/>
      <c r="I524"/>
      <c r="J524"/>
      <c r="K524"/>
    </row>
    <row r="525" spans="2:11" ht="12.75">
      <c r="B525" s="507"/>
      <c r="C525" s="62"/>
      <c r="D525" s="62"/>
      <c r="E525" s="62"/>
      <c r="F525" s="62"/>
      <c r="G525" s="507"/>
      <c r="H525" s="507"/>
      <c r="I525" s="507"/>
      <c r="J525" s="507"/>
      <c r="K525" s="507"/>
    </row>
    <row r="526" spans="2:11" ht="12.75">
      <c r="B526" s="507"/>
      <c r="C526" s="62"/>
      <c r="D526" s="62"/>
      <c r="E526" s="62"/>
      <c r="F526" s="62"/>
      <c r="G526" s="62"/>
      <c r="H526" s="62"/>
      <c r="I526" s="508"/>
      <c r="J526" s="508"/>
      <c r="K526" s="508"/>
    </row>
    <row r="527" spans="2:11" ht="12.75">
      <c r="B527" s="53"/>
      <c r="C527" s="53"/>
      <c r="D527" s="53"/>
      <c r="E527" s="63"/>
      <c r="F527" s="40"/>
      <c r="G527" s="40"/>
      <c r="H527" s="54"/>
      <c r="I527" s="40"/>
      <c r="J527" s="40"/>
      <c r="K527" s="45"/>
    </row>
    <row r="528" spans="2:11" ht="12.75">
      <c r="B528" s="53"/>
      <c r="C528" s="53"/>
      <c r="D528" s="53"/>
      <c r="E528" s="63"/>
      <c r="F528" s="40"/>
      <c r="G528" s="40"/>
      <c r="H528" s="54"/>
      <c r="I528" s="40"/>
      <c r="J528" s="44"/>
      <c r="K528" s="45"/>
    </row>
    <row r="529" spans="2:11" ht="12.75">
      <c r="B529" s="53"/>
      <c r="C529" s="53"/>
      <c r="D529" s="53"/>
      <c r="E529" s="63"/>
      <c r="F529" s="40"/>
      <c r="G529" s="40"/>
      <c r="H529" s="54"/>
      <c r="I529" s="40"/>
      <c r="J529" s="44"/>
      <c r="K529"/>
    </row>
    <row r="530" spans="2:11" ht="12.75">
      <c r="B530" s="53"/>
      <c r="C530" s="53"/>
      <c r="D530" s="53"/>
      <c r="E530" s="63"/>
      <c r="F530" s="40"/>
      <c r="G530" s="40"/>
      <c r="H530" s="54"/>
      <c r="I530" s="40"/>
      <c r="J530" s="44"/>
      <c r="K530" s="45"/>
    </row>
    <row r="531" spans="2:11" ht="12.75">
      <c r="B531" s="53"/>
      <c r="C531" s="53"/>
      <c r="D531" s="53"/>
      <c r="E531" s="64"/>
      <c r="F531" s="40"/>
      <c r="G531" s="40"/>
      <c r="H531" s="54"/>
      <c r="I531" s="40"/>
      <c r="J531" s="44"/>
      <c r="K531" s="45"/>
    </row>
    <row r="532" spans="2:11" ht="12.75">
      <c r="B532" s="53"/>
      <c r="C532" s="53"/>
      <c r="D532" s="53"/>
      <c r="E532" s="64"/>
      <c r="F532" s="40"/>
      <c r="G532" s="40"/>
      <c r="H532" s="54"/>
      <c r="I532" s="40"/>
      <c r="J532" s="44"/>
      <c r="K532" s="45"/>
    </row>
    <row r="533" spans="2:11" ht="12.75">
      <c r="B533" s="53"/>
      <c r="C533" s="53"/>
      <c r="D533" s="53"/>
      <c r="E533" s="64"/>
      <c r="F533" s="40"/>
      <c r="G533" s="40"/>
      <c r="H533" s="54"/>
      <c r="I533" s="40"/>
      <c r="J533" s="44"/>
      <c r="K533" s="45"/>
    </row>
    <row r="534" spans="2:11" ht="12.75">
      <c r="B534" s="53"/>
      <c r="C534" s="53"/>
      <c r="D534" s="53"/>
      <c r="E534" s="64"/>
      <c r="F534" s="40"/>
      <c r="G534" s="40"/>
      <c r="H534" s="54"/>
      <c r="I534" s="40"/>
      <c r="J534" s="44"/>
      <c r="K534" s="45"/>
    </row>
    <row r="535" spans="2:11" ht="12.75">
      <c r="B535" s="53"/>
      <c r="C535" s="53"/>
      <c r="D535" s="53"/>
      <c r="E535" s="64"/>
      <c r="F535" s="40"/>
      <c r="G535" s="40"/>
      <c r="H535" s="54"/>
      <c r="I535" s="40"/>
      <c r="J535" s="44"/>
      <c r="K535" s="45"/>
    </row>
    <row r="536" spans="2:11" ht="12.75">
      <c r="B536" s="53"/>
      <c r="C536" s="53"/>
      <c r="D536" s="53"/>
      <c r="E536" s="64"/>
      <c r="F536" s="40"/>
      <c r="G536" s="40"/>
      <c r="H536" s="54"/>
      <c r="I536" s="40"/>
      <c r="J536" s="44"/>
      <c r="K536" s="45"/>
    </row>
    <row r="537" spans="2:11" ht="12.75">
      <c r="B537" s="53"/>
      <c r="C537" s="53"/>
      <c r="D537" s="53"/>
      <c r="E537" s="64"/>
      <c r="F537" s="40"/>
      <c r="G537" s="40"/>
      <c r="H537" s="54"/>
      <c r="I537" s="40"/>
      <c r="J537" s="44"/>
      <c r="K537" s="45"/>
    </row>
    <row r="538" spans="2:11" ht="12.75">
      <c r="B538" s="53"/>
      <c r="C538" s="53"/>
      <c r="D538" s="53"/>
      <c r="E538" s="64"/>
      <c r="F538" s="40"/>
      <c r="G538" s="40"/>
      <c r="H538" s="54"/>
      <c r="I538" s="40"/>
      <c r="J538" s="44"/>
      <c r="K538" s="45"/>
    </row>
    <row r="539" spans="2:11" ht="12.75">
      <c r="B539" s="53"/>
      <c r="C539" s="53"/>
      <c r="D539" s="53"/>
      <c r="E539" s="64"/>
      <c r="F539" s="40"/>
      <c r="G539" s="40"/>
      <c r="H539" s="54"/>
      <c r="I539" s="40"/>
      <c r="J539" s="44"/>
      <c r="K539" s="45"/>
    </row>
    <row r="540" spans="2:11" ht="12.75">
      <c r="B540" s="53"/>
      <c r="C540" s="53"/>
      <c r="D540" s="53"/>
      <c r="E540" s="64"/>
      <c r="F540" s="40"/>
      <c r="G540" s="40"/>
      <c r="H540" s="54"/>
      <c r="I540" s="40"/>
      <c r="J540" s="44"/>
      <c r="K540" s="45"/>
    </row>
    <row r="541" spans="2:11" ht="12.75">
      <c r="B541" s="53"/>
      <c r="C541" s="53"/>
      <c r="D541" s="53"/>
      <c r="E541" s="64"/>
      <c r="F541" s="40"/>
      <c r="G541" s="40"/>
      <c r="H541" s="54"/>
      <c r="I541" s="40"/>
      <c r="J541" s="44"/>
      <c r="K541" s="45"/>
    </row>
    <row r="542" spans="2:11" ht="12.75">
      <c r="B542" s="53"/>
      <c r="C542" s="53"/>
      <c r="D542" s="53"/>
      <c r="E542" s="64"/>
      <c r="F542" s="40"/>
      <c r="G542" s="40"/>
      <c r="H542" s="54"/>
      <c r="I542" s="40"/>
      <c r="J542" s="44"/>
      <c r="K542" s="45"/>
    </row>
    <row r="543" spans="2:11" ht="12.75">
      <c r="B543" s="53"/>
      <c r="C543" s="53"/>
      <c r="D543" s="53"/>
      <c r="E543" s="64"/>
      <c r="F543" s="40"/>
      <c r="G543" s="40"/>
      <c r="H543" s="54"/>
      <c r="I543" s="40"/>
      <c r="J543" s="44"/>
      <c r="K543" s="45"/>
    </row>
    <row r="544" spans="2:11" ht="12.75">
      <c r="B544" s="53"/>
      <c r="C544" s="53"/>
      <c r="D544" s="53"/>
      <c r="E544" s="64"/>
      <c r="F544" s="40"/>
      <c r="G544" s="40"/>
      <c r="H544" s="54"/>
      <c r="I544" s="40"/>
      <c r="J544" s="44"/>
      <c r="K544" s="45"/>
    </row>
    <row r="545" spans="2:11" ht="12.75">
      <c r="B545" s="53"/>
      <c r="C545" s="53"/>
      <c r="D545" s="53"/>
      <c r="E545" s="64"/>
      <c r="F545" s="40"/>
      <c r="G545" s="40"/>
      <c r="H545" s="54"/>
      <c r="I545" s="40"/>
      <c r="J545" s="44"/>
      <c r="K545" s="45"/>
    </row>
    <row r="546" spans="2:11" ht="12.75">
      <c r="B546" s="53"/>
      <c r="C546" s="53"/>
      <c r="D546" s="53"/>
      <c r="E546" s="64"/>
      <c r="F546" s="40"/>
      <c r="G546" s="40"/>
      <c r="H546" s="54"/>
      <c r="I546" s="40"/>
      <c r="J546" s="44"/>
      <c r="K546" s="45"/>
    </row>
    <row r="547" spans="2:11" ht="12.75">
      <c r="B547" s="53"/>
      <c r="C547" s="53"/>
      <c r="D547" s="53"/>
      <c r="E547" s="64"/>
      <c r="F547" s="40"/>
      <c r="G547" s="40"/>
      <c r="H547" s="54"/>
      <c r="I547" s="40"/>
      <c r="J547" s="44"/>
      <c r="K547" s="45"/>
    </row>
    <row r="548" spans="2:11" ht="12.75">
      <c r="B548" s="53"/>
      <c r="C548" s="53"/>
      <c r="D548" s="53"/>
      <c r="E548" s="64"/>
      <c r="F548" s="40"/>
      <c r="G548" s="40"/>
      <c r="H548" s="54"/>
      <c r="I548" s="40"/>
      <c r="J548" s="44"/>
      <c r="K548" s="45"/>
    </row>
    <row r="549" spans="2:11" ht="12.75">
      <c r="B549" s="53"/>
      <c r="C549" s="53"/>
      <c r="D549" s="53"/>
      <c r="E549" s="64"/>
      <c r="F549" s="40"/>
      <c r="G549" s="40"/>
      <c r="H549" s="54"/>
      <c r="I549" s="40"/>
      <c r="J549" s="44"/>
      <c r="K549" s="45"/>
    </row>
    <row r="550" spans="2:11" ht="12.75">
      <c r="B550" s="53"/>
      <c r="C550" s="53"/>
      <c r="D550" s="53"/>
      <c r="E550" s="64"/>
      <c r="F550" s="40"/>
      <c r="G550" s="40"/>
      <c r="H550" s="54"/>
      <c r="I550" s="40"/>
      <c r="J550" s="44"/>
      <c r="K550" s="45"/>
    </row>
    <row r="551" spans="2:11" ht="12.75">
      <c r="B551" s="53"/>
      <c r="C551" s="53"/>
      <c r="D551" s="53"/>
      <c r="E551" s="64"/>
      <c r="F551" s="40"/>
      <c r="G551" s="40"/>
      <c r="H551" s="54"/>
      <c r="I551" s="40"/>
      <c r="J551" s="44"/>
      <c r="K551" s="45"/>
    </row>
    <row r="553" spans="2:11" ht="20.25">
      <c r="B553" s="42"/>
      <c r="C553" s="42"/>
      <c r="D553" s="42"/>
      <c r="E553" s="41"/>
      <c r="I553" s="43"/>
      <c r="J553" s="43"/>
      <c r="K553" s="43"/>
    </row>
    <row r="554" spans="2:11" ht="20.25">
      <c r="B554" s="43"/>
      <c r="C554" s="43"/>
      <c r="D554" s="43"/>
      <c r="E554" s="43"/>
      <c r="F554" s="43"/>
      <c r="G554" s="43"/>
      <c r="H554" s="43"/>
      <c r="I554" s="43"/>
      <c r="J554" s="43"/>
      <c r="K554" s="43"/>
    </row>
    <row r="555" spans="2:11" ht="20.25">
      <c r="B555" s="506"/>
      <c r="C555" s="506"/>
      <c r="D555" s="506"/>
      <c r="E555" s="506"/>
      <c r="F555" s="506"/>
      <c r="G555" s="43"/>
      <c r="H555" s="43"/>
      <c r="I555" s="43"/>
      <c r="J555" s="43"/>
      <c r="K555" s="43"/>
    </row>
    <row r="556" spans="2:11" ht="12.75">
      <c r="B556" s="55"/>
      <c r="C556" s="55"/>
      <c r="D556" s="55"/>
      <c r="E556" s="55"/>
      <c r="F556" s="55"/>
      <c r="G556" s="55"/>
      <c r="H556" s="55"/>
      <c r="I556" s="56"/>
      <c r="J556" s="56"/>
      <c r="K556" s="510"/>
    </row>
    <row r="557" spans="2:11" ht="12.75">
      <c r="B557" s="55"/>
      <c r="C557" s="55"/>
      <c r="D557" s="55"/>
      <c r="E557" s="55"/>
      <c r="F557" s="55"/>
      <c r="G557" s="55"/>
      <c r="H557" s="55"/>
      <c r="I557" s="56"/>
      <c r="J557" s="56"/>
      <c r="K557" s="510"/>
    </row>
    <row r="558" spans="2:11" ht="12.75">
      <c r="B558"/>
      <c r="C558"/>
      <c r="D558"/>
      <c r="E558"/>
      <c r="F558"/>
      <c r="G558"/>
      <c r="H558"/>
      <c r="I558"/>
      <c r="J558" s="40"/>
      <c r="K558"/>
    </row>
    <row r="559" spans="2:11" ht="12.75">
      <c r="B559"/>
      <c r="C559"/>
      <c r="D559"/>
      <c r="E559"/>
      <c r="F559"/>
      <c r="G559"/>
      <c r="H559"/>
      <c r="I559" s="47"/>
      <c r="J559" s="57"/>
      <c r="K559" s="40"/>
    </row>
    <row r="560" spans="2:11" ht="12.75">
      <c r="B560"/>
      <c r="C560"/>
      <c r="D560"/>
      <c r="E560"/>
      <c r="F560"/>
      <c r="G560"/>
      <c r="H560"/>
      <c r="I560" s="48"/>
      <c r="J560" s="57"/>
      <c r="K560" s="40"/>
    </row>
    <row r="561" spans="2:11" ht="12.75">
      <c r="B561"/>
      <c r="C561"/>
      <c r="D561"/>
      <c r="E561"/>
      <c r="F561"/>
      <c r="G561"/>
      <c r="H561"/>
      <c r="I561" s="49"/>
      <c r="J561" s="57"/>
      <c r="K561" s="40"/>
    </row>
    <row r="562" spans="2:11" ht="12.75">
      <c r="B562"/>
      <c r="C562"/>
      <c r="D562"/>
      <c r="E562"/>
      <c r="F562"/>
      <c r="G562"/>
      <c r="H562"/>
      <c r="I562" s="49"/>
      <c r="J562" s="57"/>
      <c r="K562" s="40"/>
    </row>
    <row r="563" spans="2:11" ht="12.75">
      <c r="B563"/>
      <c r="C563"/>
      <c r="D563"/>
      <c r="E563"/>
      <c r="F563"/>
      <c r="G563"/>
      <c r="H563"/>
      <c r="I563" s="49"/>
      <c r="J563" s="57"/>
      <c r="K563" s="40"/>
    </row>
    <row r="564" spans="2:11" ht="12.75">
      <c r="B564"/>
      <c r="C564"/>
      <c r="D564"/>
      <c r="E564"/>
      <c r="F564"/>
      <c r="G564"/>
      <c r="H564"/>
      <c r="I564" s="49"/>
      <c r="J564" s="57"/>
      <c r="K564" s="40"/>
    </row>
    <row r="565" spans="2:11" ht="12.75">
      <c r="B565"/>
      <c r="C565"/>
      <c r="D565"/>
      <c r="E565"/>
      <c r="F565"/>
      <c r="G565"/>
      <c r="H565"/>
      <c r="I565"/>
      <c r="J565"/>
      <c r="K565"/>
    </row>
    <row r="566" spans="2:11" ht="12.75">
      <c r="B566" s="55"/>
      <c r="C566" s="55"/>
      <c r="D566" s="55"/>
      <c r="E566" s="55"/>
      <c r="F566" s="55"/>
      <c r="G566" s="55"/>
      <c r="H566" s="55"/>
      <c r="I566" s="509"/>
      <c r="J566" s="58"/>
      <c r="K566" s="58"/>
    </row>
    <row r="567" spans="2:11" ht="12.75">
      <c r="B567" s="55"/>
      <c r="C567" s="55"/>
      <c r="D567" s="55"/>
      <c r="E567" s="55"/>
      <c r="F567" s="55"/>
      <c r="G567" s="55"/>
      <c r="H567" s="55"/>
      <c r="I567" s="509"/>
      <c r="J567" s="58"/>
      <c r="K567" s="58"/>
    </row>
    <row r="568" spans="2:11" ht="12.75">
      <c r="B568" s="50"/>
      <c r="C568" s="50"/>
      <c r="D568" s="50"/>
      <c r="E568"/>
      <c r="F568" s="51"/>
      <c r="G568" s="51"/>
      <c r="H568"/>
      <c r="I568" s="51"/>
      <c r="J568" s="59"/>
      <c r="K568" s="40"/>
    </row>
    <row r="569" spans="2:11" ht="12.75">
      <c r="B569"/>
      <c r="C569"/>
      <c r="D569"/>
      <c r="E569"/>
      <c r="F569"/>
      <c r="G569"/>
      <c r="H569"/>
      <c r="I569" s="40"/>
      <c r="J569" s="40"/>
      <c r="K569" s="57"/>
    </row>
    <row r="570" spans="2:11" ht="12.75">
      <c r="B570"/>
      <c r="C570"/>
      <c r="D570"/>
      <c r="E570"/>
      <c r="F570"/>
      <c r="G570"/>
      <c r="H570"/>
      <c r="I570" s="57"/>
      <c r="J570" s="40"/>
      <c r="K570" s="40"/>
    </row>
    <row r="571" spans="2:11" ht="12.75">
      <c r="B571"/>
      <c r="C571"/>
      <c r="D571"/>
      <c r="E571"/>
      <c r="F571"/>
      <c r="G571"/>
      <c r="H571"/>
      <c r="I571" s="38"/>
      <c r="J571" s="40"/>
      <c r="K571" s="40"/>
    </row>
    <row r="572" spans="2:11" ht="12.75">
      <c r="B572"/>
      <c r="C572"/>
      <c r="D572"/>
      <c r="E572"/>
      <c r="F572"/>
      <c r="G572"/>
      <c r="H572"/>
      <c r="I572" s="60"/>
      <c r="J572" s="40"/>
      <c r="K572" s="40"/>
    </row>
    <row r="573" spans="2:11" ht="12.75">
      <c r="B573"/>
      <c r="C573"/>
      <c r="D573"/>
      <c r="E573"/>
      <c r="F573"/>
      <c r="G573"/>
      <c r="H573" s="40"/>
      <c r="I573"/>
      <c r="J573"/>
      <c r="K573"/>
    </row>
    <row r="574" spans="2:11" ht="12.75">
      <c r="B574" s="52"/>
      <c r="C574" s="52"/>
      <c r="D574" s="52"/>
      <c r="E574"/>
      <c r="F574"/>
      <c r="G574"/>
      <c r="H574" s="40"/>
      <c r="I574"/>
      <c r="J574"/>
      <c r="K574"/>
    </row>
    <row r="575" spans="2:11" ht="12.75">
      <c r="B575"/>
      <c r="C575"/>
      <c r="D575"/>
      <c r="E575" s="61"/>
      <c r="F575"/>
      <c r="G575"/>
      <c r="H575"/>
      <c r="I575"/>
      <c r="J575"/>
      <c r="K575"/>
    </row>
    <row r="576" spans="2:11" ht="12.75">
      <c r="B576" s="507"/>
      <c r="C576" s="62"/>
      <c r="D576" s="62"/>
      <c r="E576" s="62"/>
      <c r="F576" s="62"/>
      <c r="G576" s="507"/>
      <c r="H576" s="507"/>
      <c r="I576" s="507"/>
      <c r="J576" s="507"/>
      <c r="K576" s="507"/>
    </row>
    <row r="577" spans="2:11" ht="12.75">
      <c r="B577" s="507"/>
      <c r="C577" s="62"/>
      <c r="D577" s="62"/>
      <c r="E577" s="62"/>
      <c r="F577" s="62"/>
      <c r="G577" s="62"/>
      <c r="H577" s="62"/>
      <c r="I577" s="508"/>
      <c r="J577" s="508"/>
      <c r="K577" s="508"/>
    </row>
    <row r="578" spans="2:11" ht="12.75">
      <c r="B578" s="53"/>
      <c r="C578" s="53"/>
      <c r="D578" s="53"/>
      <c r="E578" s="63"/>
      <c r="F578" s="40"/>
      <c r="G578" s="40"/>
      <c r="H578" s="54"/>
      <c r="I578" s="40"/>
      <c r="J578" s="40"/>
      <c r="K578" s="45"/>
    </row>
    <row r="579" spans="2:11" ht="12.75">
      <c r="B579" s="53"/>
      <c r="C579" s="53"/>
      <c r="D579" s="53"/>
      <c r="E579" s="63"/>
      <c r="F579" s="40"/>
      <c r="G579" s="40"/>
      <c r="H579" s="54"/>
      <c r="I579" s="40"/>
      <c r="J579" s="44"/>
      <c r="K579" s="45"/>
    </row>
    <row r="580" spans="2:11" ht="12.75">
      <c r="B580" s="53"/>
      <c r="C580" s="53"/>
      <c r="D580" s="53"/>
      <c r="E580" s="63"/>
      <c r="F580" s="40"/>
      <c r="G580" s="40"/>
      <c r="H580" s="54"/>
      <c r="I580" s="40"/>
      <c r="J580" s="44"/>
      <c r="K580"/>
    </row>
    <row r="581" spans="2:11" ht="12.75">
      <c r="B581" s="53"/>
      <c r="C581" s="53"/>
      <c r="D581" s="53"/>
      <c r="E581" s="63"/>
      <c r="F581" s="40"/>
      <c r="G581" s="40"/>
      <c r="H581" s="54"/>
      <c r="I581" s="40"/>
      <c r="J581" s="44"/>
      <c r="K581" s="45"/>
    </row>
    <row r="582" spans="2:11" ht="12.75">
      <c r="B582" s="53"/>
      <c r="C582" s="53"/>
      <c r="D582" s="53"/>
      <c r="E582" s="64"/>
      <c r="F582" s="40"/>
      <c r="G582" s="40"/>
      <c r="H582" s="54"/>
      <c r="I582" s="40"/>
      <c r="J582" s="44"/>
      <c r="K582" s="45"/>
    </row>
    <row r="583" spans="2:11" ht="12.75">
      <c r="B583" s="53"/>
      <c r="C583" s="53"/>
      <c r="D583" s="53"/>
      <c r="E583" s="64"/>
      <c r="F583" s="40"/>
      <c r="G583" s="40"/>
      <c r="H583" s="54"/>
      <c r="I583" s="40"/>
      <c r="J583" s="44"/>
      <c r="K583" s="45"/>
    </row>
    <row r="584" spans="2:11" ht="12.75">
      <c r="B584" s="53"/>
      <c r="C584" s="53"/>
      <c r="D584" s="53"/>
      <c r="E584" s="64"/>
      <c r="F584" s="40"/>
      <c r="G584" s="40"/>
      <c r="H584" s="54"/>
      <c r="I584" s="40"/>
      <c r="J584" s="44"/>
      <c r="K584" s="45"/>
    </row>
    <row r="585" spans="2:11" ht="12.75">
      <c r="B585" s="53"/>
      <c r="C585" s="53"/>
      <c r="D585" s="53"/>
      <c r="E585" s="64"/>
      <c r="F585" s="40"/>
      <c r="G585" s="40"/>
      <c r="H585" s="54"/>
      <c r="I585" s="40"/>
      <c r="J585" s="44"/>
      <c r="K585" s="45"/>
    </row>
    <row r="586" spans="2:11" ht="12.75">
      <c r="B586" s="53"/>
      <c r="C586" s="53"/>
      <c r="D586" s="53"/>
      <c r="E586" s="64"/>
      <c r="F586" s="40"/>
      <c r="G586" s="40"/>
      <c r="H586" s="54"/>
      <c r="I586" s="40"/>
      <c r="J586" s="44"/>
      <c r="K586" s="45"/>
    </row>
    <row r="587" spans="2:11" ht="12.75">
      <c r="B587" s="53"/>
      <c r="C587" s="53"/>
      <c r="D587" s="53"/>
      <c r="E587" s="64"/>
      <c r="F587" s="40"/>
      <c r="G587" s="40"/>
      <c r="H587" s="54"/>
      <c r="I587" s="40"/>
      <c r="J587" s="44"/>
      <c r="K587" s="45"/>
    </row>
    <row r="588" spans="2:11" ht="12.75">
      <c r="B588" s="53"/>
      <c r="C588" s="53"/>
      <c r="D588" s="53"/>
      <c r="E588" s="64"/>
      <c r="F588" s="40"/>
      <c r="G588" s="40"/>
      <c r="H588" s="54"/>
      <c r="I588" s="40"/>
      <c r="J588" s="44"/>
      <c r="K588" s="45"/>
    </row>
    <row r="589" spans="2:11" ht="12.75">
      <c r="B589" s="53"/>
      <c r="C589" s="53"/>
      <c r="D589" s="53"/>
      <c r="E589" s="64"/>
      <c r="F589" s="40"/>
      <c r="G589" s="40"/>
      <c r="H589" s="54"/>
      <c r="I589" s="40"/>
      <c r="J589" s="44"/>
      <c r="K589" s="45"/>
    </row>
    <row r="590" spans="2:11" ht="12.75">
      <c r="B590" s="53"/>
      <c r="C590" s="53"/>
      <c r="D590" s="53"/>
      <c r="E590" s="64"/>
      <c r="F590" s="40"/>
      <c r="G590" s="40"/>
      <c r="H590" s="54"/>
      <c r="I590" s="40"/>
      <c r="J590" s="44"/>
      <c r="K590" s="45"/>
    </row>
    <row r="591" spans="2:11" ht="12.75">
      <c r="B591" s="53"/>
      <c r="C591" s="53"/>
      <c r="D591" s="53"/>
      <c r="E591" s="64"/>
      <c r="F591" s="40"/>
      <c r="G591" s="40"/>
      <c r="H591" s="54"/>
      <c r="I591" s="40"/>
      <c r="J591" s="44"/>
      <c r="K591" s="45"/>
    </row>
    <row r="592" spans="2:11" ht="12.75">
      <c r="B592" s="53"/>
      <c r="C592" s="53"/>
      <c r="D592" s="53"/>
      <c r="E592" s="64"/>
      <c r="F592" s="40"/>
      <c r="G592" s="40"/>
      <c r="H592" s="54"/>
      <c r="I592" s="40"/>
      <c r="J592" s="44"/>
      <c r="K592" s="45"/>
    </row>
    <row r="593" spans="2:11" ht="12.75">
      <c r="B593" s="53"/>
      <c r="C593" s="53"/>
      <c r="D593" s="53"/>
      <c r="E593" s="64"/>
      <c r="F593" s="40"/>
      <c r="G593" s="40"/>
      <c r="H593" s="54"/>
      <c r="I593" s="40"/>
      <c r="J593" s="44"/>
      <c r="K593" s="45"/>
    </row>
    <row r="594" spans="2:11" ht="12.75">
      <c r="B594" s="53"/>
      <c r="C594" s="53"/>
      <c r="D594" s="53"/>
      <c r="E594" s="64"/>
      <c r="F594" s="40"/>
      <c r="G594" s="40"/>
      <c r="H594" s="54"/>
      <c r="I594" s="40"/>
      <c r="J594" s="44"/>
      <c r="K594" s="45"/>
    </row>
    <row r="595" spans="2:11" ht="12.75">
      <c r="B595" s="53"/>
      <c r="C595" s="53"/>
      <c r="D595" s="53"/>
      <c r="E595" s="64"/>
      <c r="F595" s="40"/>
      <c r="G595" s="40"/>
      <c r="H595" s="54"/>
      <c r="I595" s="40"/>
      <c r="J595" s="44"/>
      <c r="K595" s="45"/>
    </row>
    <row r="596" spans="2:11" ht="12.75">
      <c r="B596" s="53"/>
      <c r="C596" s="53"/>
      <c r="D596" s="53"/>
      <c r="E596" s="64"/>
      <c r="F596" s="40"/>
      <c r="G596" s="40"/>
      <c r="H596" s="54"/>
      <c r="I596" s="40"/>
      <c r="J596" s="44"/>
      <c r="K596" s="45"/>
    </row>
    <row r="597" spans="2:11" ht="12.75">
      <c r="B597" s="53"/>
      <c r="C597" s="53"/>
      <c r="D597" s="53"/>
      <c r="E597" s="64"/>
      <c r="F597" s="40"/>
      <c r="G597" s="40"/>
      <c r="H597" s="54"/>
      <c r="I597" s="40"/>
      <c r="J597" s="44"/>
      <c r="K597" s="45"/>
    </row>
    <row r="598" spans="2:11" ht="12.75">
      <c r="B598" s="53"/>
      <c r="C598" s="53"/>
      <c r="D598" s="53"/>
      <c r="E598" s="64"/>
      <c r="F598" s="40"/>
      <c r="G598" s="40"/>
      <c r="H598" s="54"/>
      <c r="I598" s="40"/>
      <c r="J598" s="44"/>
      <c r="K598" s="45"/>
    </row>
    <row r="599" spans="2:11" ht="12.75">
      <c r="B599" s="53"/>
      <c r="C599" s="53"/>
      <c r="D599" s="53"/>
      <c r="E599" s="64"/>
      <c r="F599" s="40"/>
      <c r="G599" s="40"/>
      <c r="H599" s="54"/>
      <c r="I599" s="40"/>
      <c r="J599" s="44"/>
      <c r="K599" s="45"/>
    </row>
    <row r="600" spans="2:11" ht="12.75">
      <c r="B600" s="53"/>
      <c r="C600" s="53"/>
      <c r="D600" s="53"/>
      <c r="E600" s="64"/>
      <c r="F600" s="40"/>
      <c r="G600" s="40"/>
      <c r="H600" s="54"/>
      <c r="I600" s="40"/>
      <c r="J600" s="44"/>
      <c r="K600" s="45"/>
    </row>
    <row r="601" spans="2:11" ht="12.75">
      <c r="B601" s="53"/>
      <c r="C601" s="53"/>
      <c r="D601" s="53"/>
      <c r="E601" s="64"/>
      <c r="F601" s="40"/>
      <c r="G601" s="40"/>
      <c r="H601" s="54"/>
      <c r="I601" s="40"/>
      <c r="J601" s="44"/>
      <c r="K601" s="45"/>
    </row>
    <row r="602" spans="2:11" ht="12.75">
      <c r="B602" s="53"/>
      <c r="C602" s="53"/>
      <c r="D602" s="53"/>
      <c r="E602" s="64"/>
      <c r="F602" s="40"/>
      <c r="G602" s="40"/>
      <c r="H602" s="54"/>
      <c r="I602" s="40"/>
      <c r="J602" s="44"/>
      <c r="K602" s="45"/>
    </row>
    <row r="604" spans="2:11" ht="20.25">
      <c r="B604" s="42"/>
      <c r="C604" s="42"/>
      <c r="D604" s="42"/>
      <c r="E604" s="41"/>
      <c r="I604" s="43"/>
      <c r="J604" s="43"/>
      <c r="K604" s="43"/>
    </row>
    <row r="605" spans="2:11" ht="20.25">
      <c r="B605" s="43"/>
      <c r="C605" s="43"/>
      <c r="D605" s="43"/>
      <c r="E605" s="43"/>
      <c r="F605" s="43"/>
      <c r="G605" s="43"/>
      <c r="H605" s="43"/>
      <c r="I605" s="43"/>
      <c r="J605" s="43"/>
      <c r="K605" s="43"/>
    </row>
    <row r="606" spans="2:11" ht="29.25" customHeight="1">
      <c r="B606" s="506"/>
      <c r="C606" s="506"/>
      <c r="D606" s="506"/>
      <c r="E606" s="506"/>
      <c r="F606" s="506"/>
      <c r="G606" s="43"/>
      <c r="H606" s="43"/>
      <c r="I606" s="43"/>
      <c r="J606" s="43"/>
      <c r="K606" s="43"/>
    </row>
    <row r="607" spans="2:11" ht="12.75">
      <c r="B607" s="55"/>
      <c r="C607" s="55"/>
      <c r="D607" s="55"/>
      <c r="E607" s="55"/>
      <c r="F607" s="55"/>
      <c r="G607" s="55"/>
      <c r="H607" s="55"/>
      <c r="I607" s="56"/>
      <c r="J607" s="56"/>
      <c r="K607" s="510"/>
    </row>
    <row r="608" spans="2:11" ht="12.75">
      <c r="B608" s="55"/>
      <c r="C608" s="55"/>
      <c r="D608" s="55"/>
      <c r="E608" s="55"/>
      <c r="F608" s="55"/>
      <c r="G608" s="55"/>
      <c r="H608" s="55"/>
      <c r="I608" s="56"/>
      <c r="J608" s="56"/>
      <c r="K608" s="510"/>
    </row>
    <row r="609" spans="2:11" ht="12.75">
      <c r="B609"/>
      <c r="C609"/>
      <c r="D609"/>
      <c r="E609"/>
      <c r="F609"/>
      <c r="G609"/>
      <c r="H609"/>
      <c r="I609"/>
      <c r="J609" s="40"/>
      <c r="K609"/>
    </row>
    <row r="610" spans="2:11" ht="12.75">
      <c r="B610"/>
      <c r="C610"/>
      <c r="D610"/>
      <c r="E610"/>
      <c r="F610"/>
      <c r="G610"/>
      <c r="H610"/>
      <c r="I610" s="47"/>
      <c r="J610" s="57"/>
      <c r="K610" s="40"/>
    </row>
    <row r="611" spans="2:11" ht="12.75">
      <c r="B611"/>
      <c r="C611"/>
      <c r="D611"/>
      <c r="E611"/>
      <c r="F611"/>
      <c r="G611"/>
      <c r="H611"/>
      <c r="I611" s="48"/>
      <c r="J611" s="57"/>
      <c r="K611" s="40"/>
    </row>
    <row r="612" spans="2:11" ht="12.75">
      <c r="B612"/>
      <c r="C612"/>
      <c r="D612"/>
      <c r="E612"/>
      <c r="F612"/>
      <c r="G612"/>
      <c r="H612"/>
      <c r="I612" s="49"/>
      <c r="J612" s="57"/>
      <c r="K612" s="40"/>
    </row>
    <row r="613" spans="2:11" ht="12.75">
      <c r="B613"/>
      <c r="C613"/>
      <c r="D613"/>
      <c r="E613"/>
      <c r="F613"/>
      <c r="G613"/>
      <c r="H613"/>
      <c r="I613" s="49"/>
      <c r="J613" s="57"/>
      <c r="K613" s="40"/>
    </row>
    <row r="614" spans="2:11" ht="12.75">
      <c r="B614"/>
      <c r="C614"/>
      <c r="D614"/>
      <c r="E614"/>
      <c r="F614"/>
      <c r="G614"/>
      <c r="H614"/>
      <c r="I614" s="49"/>
      <c r="J614" s="57"/>
      <c r="K614" s="40"/>
    </row>
    <row r="615" spans="2:11" ht="12.75">
      <c r="B615"/>
      <c r="C615"/>
      <c r="D615"/>
      <c r="E615"/>
      <c r="F615"/>
      <c r="G615"/>
      <c r="H615"/>
      <c r="I615" s="49"/>
      <c r="J615" s="57"/>
      <c r="K615" s="40"/>
    </row>
    <row r="616" spans="2:11" ht="12.75">
      <c r="B616"/>
      <c r="C616"/>
      <c r="D616"/>
      <c r="E616"/>
      <c r="F616"/>
      <c r="G616"/>
      <c r="H616"/>
      <c r="I616"/>
      <c r="J616"/>
      <c r="K616"/>
    </row>
    <row r="617" spans="2:11" ht="12.75">
      <c r="B617" s="55"/>
      <c r="C617" s="55"/>
      <c r="D617" s="55"/>
      <c r="E617" s="55"/>
      <c r="F617" s="55"/>
      <c r="G617" s="55"/>
      <c r="H617" s="55"/>
      <c r="I617" s="509"/>
      <c r="J617" s="58"/>
      <c r="K617" s="58"/>
    </row>
    <row r="618" spans="2:11" ht="12.75">
      <c r="B618" s="55"/>
      <c r="C618" s="55"/>
      <c r="D618" s="55"/>
      <c r="E618" s="55"/>
      <c r="F618" s="55"/>
      <c r="G618" s="55"/>
      <c r="H618" s="55"/>
      <c r="I618" s="509"/>
      <c r="J618" s="58"/>
      <c r="K618" s="58"/>
    </row>
    <row r="619" spans="2:11" ht="12.75">
      <c r="B619" s="50"/>
      <c r="C619" s="50"/>
      <c r="D619" s="50"/>
      <c r="E619"/>
      <c r="F619" s="51"/>
      <c r="G619" s="51"/>
      <c r="H619"/>
      <c r="I619" s="51"/>
      <c r="J619" s="59"/>
      <c r="K619" s="40"/>
    </row>
    <row r="620" spans="2:11" ht="12.75">
      <c r="B620"/>
      <c r="C620"/>
      <c r="D620"/>
      <c r="E620"/>
      <c r="F620"/>
      <c r="G620"/>
      <c r="H620"/>
      <c r="I620" s="40"/>
      <c r="J620" s="40"/>
      <c r="K620" s="57"/>
    </row>
    <row r="621" spans="2:11" ht="12.75">
      <c r="B621"/>
      <c r="C621"/>
      <c r="D621"/>
      <c r="E621"/>
      <c r="F621"/>
      <c r="G621"/>
      <c r="H621"/>
      <c r="I621" s="57"/>
      <c r="J621" s="40"/>
      <c r="K621" s="40"/>
    </row>
    <row r="622" spans="2:11" ht="12.75">
      <c r="B622"/>
      <c r="C622"/>
      <c r="D622"/>
      <c r="E622"/>
      <c r="F622"/>
      <c r="G622"/>
      <c r="H622"/>
      <c r="I622" s="38"/>
      <c r="J622" s="40"/>
      <c r="K622" s="40"/>
    </row>
    <row r="623" spans="2:11" ht="12.75">
      <c r="B623"/>
      <c r="C623"/>
      <c r="D623"/>
      <c r="E623"/>
      <c r="F623"/>
      <c r="G623"/>
      <c r="H623"/>
      <c r="I623" s="60"/>
      <c r="J623" s="40"/>
      <c r="K623" s="40"/>
    </row>
    <row r="624" spans="2:11" ht="12.75">
      <c r="B624"/>
      <c r="C624"/>
      <c r="D624"/>
      <c r="E624"/>
      <c r="F624"/>
      <c r="G624"/>
      <c r="H624" s="40"/>
      <c r="I624"/>
      <c r="J624"/>
      <c r="K624"/>
    </row>
    <row r="625" spans="2:11" ht="12.75">
      <c r="B625" s="52"/>
      <c r="C625" s="52"/>
      <c r="D625" s="52"/>
      <c r="E625"/>
      <c r="F625"/>
      <c r="G625"/>
      <c r="H625" s="40"/>
      <c r="I625"/>
      <c r="J625"/>
      <c r="K625"/>
    </row>
    <row r="626" spans="2:11" ht="12.75">
      <c r="B626"/>
      <c r="C626"/>
      <c r="D626"/>
      <c r="E626" s="61"/>
      <c r="F626"/>
      <c r="G626"/>
      <c r="H626"/>
      <c r="I626"/>
      <c r="J626"/>
      <c r="K626"/>
    </row>
    <row r="627" spans="2:11" ht="12.75">
      <c r="B627" s="507"/>
      <c r="C627" s="62"/>
      <c r="D627" s="62"/>
      <c r="E627" s="62"/>
      <c r="F627" s="62"/>
      <c r="G627" s="507"/>
      <c r="H627" s="507"/>
      <c r="I627" s="507"/>
      <c r="J627" s="507"/>
      <c r="K627" s="507"/>
    </row>
    <row r="628" spans="2:11" ht="12.75">
      <c r="B628" s="507"/>
      <c r="C628" s="62"/>
      <c r="D628" s="62"/>
      <c r="E628" s="62"/>
      <c r="F628" s="62"/>
      <c r="G628" s="62"/>
      <c r="H628" s="62"/>
      <c r="I628" s="508"/>
      <c r="J628" s="508"/>
      <c r="K628" s="508"/>
    </row>
    <row r="629" spans="2:11" ht="12.75">
      <c r="B629" s="53"/>
      <c r="C629" s="53"/>
      <c r="D629" s="53"/>
      <c r="E629" s="63"/>
      <c r="F629" s="40"/>
      <c r="G629" s="40"/>
      <c r="H629" s="54"/>
      <c r="I629" s="40"/>
      <c r="J629" s="40"/>
      <c r="K629" s="45"/>
    </row>
    <row r="630" spans="2:11" ht="12.75">
      <c r="B630" s="53"/>
      <c r="C630" s="53"/>
      <c r="D630" s="53"/>
      <c r="E630" s="63"/>
      <c r="F630" s="40"/>
      <c r="G630" s="40"/>
      <c r="H630" s="54"/>
      <c r="I630" s="40"/>
      <c r="J630" s="44"/>
      <c r="K630" s="45"/>
    </row>
    <row r="631" spans="2:11" ht="12.75">
      <c r="B631" s="53"/>
      <c r="C631" s="53"/>
      <c r="D631" s="53"/>
      <c r="E631" s="63"/>
      <c r="F631" s="40"/>
      <c r="G631" s="40"/>
      <c r="H631" s="54"/>
      <c r="I631" s="40"/>
      <c r="J631" s="44"/>
      <c r="K631"/>
    </row>
    <row r="632" spans="2:11" ht="12.75">
      <c r="B632" s="53"/>
      <c r="C632" s="53"/>
      <c r="D632" s="53"/>
      <c r="E632" s="63"/>
      <c r="F632" s="40"/>
      <c r="G632" s="40"/>
      <c r="H632" s="54"/>
      <c r="I632" s="40"/>
      <c r="J632" s="44"/>
      <c r="K632" s="45"/>
    </row>
    <row r="633" spans="2:11" ht="12.75">
      <c r="B633" s="53"/>
      <c r="C633" s="53"/>
      <c r="D633" s="53"/>
      <c r="E633" s="64"/>
      <c r="F633" s="40"/>
      <c r="G633" s="40"/>
      <c r="H633" s="54"/>
      <c r="I633" s="40"/>
      <c r="J633" s="44"/>
      <c r="K633" s="45"/>
    </row>
    <row r="634" spans="2:11" ht="12.75">
      <c r="B634" s="53"/>
      <c r="C634" s="53"/>
      <c r="D634" s="53"/>
      <c r="E634" s="64"/>
      <c r="F634" s="40"/>
      <c r="G634" s="40"/>
      <c r="H634" s="54"/>
      <c r="I634" s="40"/>
      <c r="J634" s="44"/>
      <c r="K634" s="45"/>
    </row>
    <row r="635" spans="2:11" ht="12.75">
      <c r="B635" s="53"/>
      <c r="C635" s="53"/>
      <c r="D635" s="53"/>
      <c r="E635" s="64"/>
      <c r="F635" s="40"/>
      <c r="G635" s="40"/>
      <c r="H635" s="54"/>
      <c r="I635" s="40"/>
      <c r="J635" s="44"/>
      <c r="K635" s="45"/>
    </row>
    <row r="636" spans="2:11" ht="12.75">
      <c r="B636" s="53"/>
      <c r="C636" s="53"/>
      <c r="D636" s="53"/>
      <c r="E636" s="64"/>
      <c r="F636" s="40"/>
      <c r="G636" s="40"/>
      <c r="H636" s="54"/>
      <c r="I636" s="40"/>
      <c r="J636" s="44"/>
      <c r="K636" s="45"/>
    </row>
    <row r="637" spans="2:11" ht="12.75">
      <c r="B637" s="53"/>
      <c r="C637" s="53"/>
      <c r="D637" s="53"/>
      <c r="E637" s="64"/>
      <c r="F637" s="40"/>
      <c r="G637" s="40"/>
      <c r="H637" s="54"/>
      <c r="I637" s="40"/>
      <c r="J637" s="44"/>
      <c r="K637" s="45"/>
    </row>
    <row r="638" spans="2:11" ht="12.75">
      <c r="B638" s="53"/>
      <c r="C638" s="53"/>
      <c r="D638" s="53"/>
      <c r="E638" s="64"/>
      <c r="F638" s="40"/>
      <c r="G638" s="40"/>
      <c r="H638" s="54"/>
      <c r="I638" s="40"/>
      <c r="J638" s="44"/>
      <c r="K638" s="45"/>
    </row>
    <row r="639" spans="2:11" ht="12.75">
      <c r="B639" s="53"/>
      <c r="C639" s="53"/>
      <c r="D639" s="53"/>
      <c r="E639" s="64"/>
      <c r="F639" s="40"/>
      <c r="G639" s="40"/>
      <c r="H639" s="54"/>
      <c r="I639" s="40"/>
      <c r="J639" s="44"/>
      <c r="K639" s="45"/>
    </row>
    <row r="640" spans="2:11" ht="12.75">
      <c r="B640" s="53"/>
      <c r="C640" s="53"/>
      <c r="D640" s="53"/>
      <c r="E640" s="64"/>
      <c r="F640" s="40"/>
      <c r="G640" s="40"/>
      <c r="H640" s="54"/>
      <c r="I640" s="40"/>
      <c r="J640" s="44"/>
      <c r="K640" s="45"/>
    </row>
    <row r="641" spans="2:11" ht="12.75">
      <c r="B641" s="53"/>
      <c r="C641" s="53"/>
      <c r="D641" s="53"/>
      <c r="E641" s="64"/>
      <c r="F641" s="40"/>
      <c r="G641" s="40"/>
      <c r="H641" s="54"/>
      <c r="I641" s="40"/>
      <c r="J641" s="44"/>
      <c r="K641" s="45"/>
    </row>
    <row r="642" spans="2:11" ht="12.75">
      <c r="B642" s="53"/>
      <c r="C642" s="53"/>
      <c r="D642" s="53"/>
      <c r="E642" s="64"/>
      <c r="F642" s="40"/>
      <c r="G642" s="40"/>
      <c r="H642" s="54"/>
      <c r="I642" s="40"/>
      <c r="J642" s="44"/>
      <c r="K642" s="45"/>
    </row>
    <row r="643" spans="2:11" ht="12.75">
      <c r="B643" s="53"/>
      <c r="C643" s="53"/>
      <c r="D643" s="53"/>
      <c r="E643" s="64"/>
      <c r="F643" s="40"/>
      <c r="G643" s="40"/>
      <c r="H643" s="54"/>
      <c r="I643" s="40"/>
      <c r="J643" s="44"/>
      <c r="K643" s="45"/>
    </row>
    <row r="644" spans="2:11" ht="12.75">
      <c r="B644" s="53"/>
      <c r="C644" s="53"/>
      <c r="D644" s="53"/>
      <c r="E644" s="64"/>
      <c r="F644" s="40"/>
      <c r="G644" s="40"/>
      <c r="H644" s="54"/>
      <c r="I644" s="40"/>
      <c r="J644" s="44"/>
      <c r="K644" s="45"/>
    </row>
    <row r="645" spans="2:11" ht="12.75">
      <c r="B645" s="53"/>
      <c r="C645" s="53"/>
      <c r="D645" s="53"/>
      <c r="E645" s="64"/>
      <c r="F645" s="40"/>
      <c r="G645" s="40"/>
      <c r="H645" s="54"/>
      <c r="I645" s="40"/>
      <c r="J645" s="44"/>
      <c r="K645" s="45"/>
    </row>
    <row r="646" spans="2:11" ht="12.75">
      <c r="B646" s="53"/>
      <c r="C646" s="53"/>
      <c r="D646" s="53"/>
      <c r="E646" s="64"/>
      <c r="F646" s="40"/>
      <c r="G646" s="40"/>
      <c r="H646" s="54"/>
      <c r="I646" s="40"/>
      <c r="J646" s="44"/>
      <c r="K646" s="45"/>
    </row>
    <row r="647" spans="2:11" ht="12.75">
      <c r="B647" s="53"/>
      <c r="C647" s="53"/>
      <c r="D647" s="53"/>
      <c r="E647" s="64"/>
      <c r="F647" s="40"/>
      <c r="G647" s="40"/>
      <c r="H647" s="54"/>
      <c r="I647" s="40"/>
      <c r="J647" s="44"/>
      <c r="K647" s="45"/>
    </row>
    <row r="648" spans="2:11" ht="12.75">
      <c r="B648" s="53"/>
      <c r="C648" s="53"/>
      <c r="D648" s="53"/>
      <c r="E648" s="64"/>
      <c r="F648" s="40"/>
      <c r="G648" s="40"/>
      <c r="H648" s="54"/>
      <c r="I648" s="40"/>
      <c r="J648" s="44"/>
      <c r="K648" s="45"/>
    </row>
    <row r="649" spans="2:11" ht="12.75">
      <c r="B649" s="53"/>
      <c r="C649" s="53"/>
      <c r="D649" s="53"/>
      <c r="E649" s="64"/>
      <c r="F649" s="40"/>
      <c r="G649" s="40"/>
      <c r="H649" s="54"/>
      <c r="I649" s="40"/>
      <c r="J649" s="44"/>
      <c r="K649" s="45"/>
    </row>
    <row r="650" spans="2:11" ht="12.75">
      <c r="B650" s="53"/>
      <c r="C650" s="53"/>
      <c r="D650" s="53"/>
      <c r="E650" s="64"/>
      <c r="F650" s="40"/>
      <c r="G650" s="40"/>
      <c r="H650" s="54"/>
      <c r="I650" s="40"/>
      <c r="J650" s="44"/>
      <c r="K650" s="45"/>
    </row>
    <row r="651" spans="2:11" ht="12.75">
      <c r="B651" s="53"/>
      <c r="C651" s="53"/>
      <c r="D651" s="53"/>
      <c r="E651" s="64"/>
      <c r="F651" s="40"/>
      <c r="G651" s="40"/>
      <c r="H651" s="54"/>
      <c r="I651" s="40"/>
      <c r="J651" s="44"/>
      <c r="K651" s="45"/>
    </row>
    <row r="652" spans="2:11" ht="12.75">
      <c r="B652" s="53"/>
      <c r="C652" s="53"/>
      <c r="D652" s="53"/>
      <c r="E652" s="64"/>
      <c r="F652" s="40"/>
      <c r="G652" s="40"/>
      <c r="H652" s="54"/>
      <c r="I652" s="40"/>
      <c r="J652" s="44"/>
      <c r="K652" s="45"/>
    </row>
    <row r="653" spans="2:11" ht="12.75">
      <c r="B653" s="53"/>
      <c r="C653" s="53"/>
      <c r="D653" s="53"/>
      <c r="E653" s="64"/>
      <c r="F653" s="40"/>
      <c r="G653" s="40"/>
      <c r="H653" s="54"/>
      <c r="I653" s="40"/>
      <c r="J653" s="44"/>
      <c r="K653" s="45"/>
    </row>
    <row r="655" spans="2:11" ht="20.25">
      <c r="B655" s="42"/>
      <c r="C655" s="42"/>
      <c r="D655" s="42"/>
      <c r="E655" s="41"/>
      <c r="I655" s="43"/>
      <c r="J655" s="43"/>
      <c r="K655" s="43"/>
    </row>
    <row r="656" spans="2:11" ht="20.25">
      <c r="B656" s="43"/>
      <c r="C656" s="43"/>
      <c r="D656" s="43"/>
      <c r="E656" s="43"/>
      <c r="F656" s="43"/>
      <c r="G656" s="43"/>
      <c r="H656" s="43"/>
      <c r="I656" s="43"/>
      <c r="J656" s="43"/>
      <c r="K656" s="43"/>
    </row>
    <row r="657" spans="2:11" ht="31.5" customHeight="1">
      <c r="B657" s="506"/>
      <c r="C657" s="506"/>
      <c r="D657" s="506"/>
      <c r="E657" s="506"/>
      <c r="F657" s="506"/>
      <c r="G657" s="43"/>
      <c r="H657" s="43"/>
      <c r="I657" s="43"/>
      <c r="J657" s="43"/>
      <c r="K657" s="43"/>
    </row>
    <row r="658" spans="2:11" ht="12.75">
      <c r="B658" s="55"/>
      <c r="C658" s="55"/>
      <c r="D658" s="55"/>
      <c r="E658" s="55"/>
      <c r="F658" s="55"/>
      <c r="G658" s="55"/>
      <c r="H658" s="55"/>
      <c r="I658" s="56"/>
      <c r="J658" s="56"/>
      <c r="K658" s="510"/>
    </row>
    <row r="659" spans="2:11" ht="12.75">
      <c r="B659" s="55"/>
      <c r="C659" s="55"/>
      <c r="D659" s="55"/>
      <c r="E659" s="55"/>
      <c r="F659" s="55"/>
      <c r="G659" s="55"/>
      <c r="H659" s="55"/>
      <c r="I659" s="56"/>
      <c r="J659" s="56"/>
      <c r="K659" s="510"/>
    </row>
    <row r="660" spans="2:11" ht="12.75">
      <c r="B660"/>
      <c r="C660"/>
      <c r="D660"/>
      <c r="E660"/>
      <c r="F660"/>
      <c r="G660"/>
      <c r="H660"/>
      <c r="I660"/>
      <c r="J660" s="40"/>
      <c r="K660"/>
    </row>
    <row r="661" spans="2:11" ht="12.75">
      <c r="B661"/>
      <c r="C661"/>
      <c r="D661"/>
      <c r="E661"/>
      <c r="F661"/>
      <c r="G661"/>
      <c r="H661"/>
      <c r="I661" s="47"/>
      <c r="J661" s="57"/>
      <c r="K661" s="40"/>
    </row>
    <row r="662" spans="2:11" ht="12.75">
      <c r="B662"/>
      <c r="C662"/>
      <c r="D662"/>
      <c r="E662"/>
      <c r="F662"/>
      <c r="G662"/>
      <c r="H662"/>
      <c r="I662" s="48"/>
      <c r="J662" s="57"/>
      <c r="K662" s="40"/>
    </row>
    <row r="663" spans="2:11" ht="12.75">
      <c r="B663"/>
      <c r="C663"/>
      <c r="D663"/>
      <c r="E663"/>
      <c r="F663"/>
      <c r="G663"/>
      <c r="H663"/>
      <c r="I663" s="49"/>
      <c r="J663" s="57"/>
      <c r="K663" s="40"/>
    </row>
    <row r="664" spans="2:11" ht="12.75">
      <c r="B664"/>
      <c r="C664"/>
      <c r="D664"/>
      <c r="E664"/>
      <c r="F664"/>
      <c r="G664"/>
      <c r="H664"/>
      <c r="I664" s="49"/>
      <c r="J664" s="57"/>
      <c r="K664" s="40"/>
    </row>
    <row r="665" spans="2:11" ht="12.75">
      <c r="B665"/>
      <c r="C665"/>
      <c r="D665"/>
      <c r="E665"/>
      <c r="F665"/>
      <c r="G665"/>
      <c r="H665"/>
      <c r="I665" s="49"/>
      <c r="J665" s="57"/>
      <c r="K665" s="40"/>
    </row>
    <row r="666" spans="2:11" ht="12.75">
      <c r="B666"/>
      <c r="C666"/>
      <c r="D666"/>
      <c r="E666"/>
      <c r="F666"/>
      <c r="G666"/>
      <c r="H666"/>
      <c r="I666" s="49"/>
      <c r="J666" s="57"/>
      <c r="K666" s="40"/>
    </row>
    <row r="667" spans="2:11" ht="12.75">
      <c r="B667"/>
      <c r="C667"/>
      <c r="D667"/>
      <c r="E667"/>
      <c r="F667"/>
      <c r="G667"/>
      <c r="H667"/>
      <c r="I667"/>
      <c r="J667"/>
      <c r="K667"/>
    </row>
    <row r="668" spans="2:11" ht="12.75">
      <c r="B668" s="55"/>
      <c r="C668" s="55"/>
      <c r="D668" s="55"/>
      <c r="E668" s="55"/>
      <c r="F668" s="55"/>
      <c r="G668" s="55"/>
      <c r="H668" s="55"/>
      <c r="I668" s="509"/>
      <c r="J668" s="58"/>
      <c r="K668" s="58"/>
    </row>
    <row r="669" spans="2:11" ht="12.75">
      <c r="B669" s="55"/>
      <c r="C669" s="55"/>
      <c r="D669" s="55"/>
      <c r="E669" s="55"/>
      <c r="F669" s="55"/>
      <c r="G669" s="55"/>
      <c r="H669" s="55"/>
      <c r="I669" s="509"/>
      <c r="J669" s="58"/>
      <c r="K669" s="58"/>
    </row>
    <row r="670" spans="2:11" ht="12.75">
      <c r="B670" s="50"/>
      <c r="C670" s="50"/>
      <c r="D670" s="50"/>
      <c r="E670"/>
      <c r="F670" s="51"/>
      <c r="G670" s="51"/>
      <c r="H670"/>
      <c r="I670" s="51"/>
      <c r="J670" s="59"/>
      <c r="K670" s="40"/>
    </row>
    <row r="671" spans="2:11" ht="12.75">
      <c r="B671"/>
      <c r="C671"/>
      <c r="D671"/>
      <c r="E671"/>
      <c r="F671"/>
      <c r="G671"/>
      <c r="H671"/>
      <c r="I671" s="40"/>
      <c r="J671" s="40"/>
      <c r="K671" s="57"/>
    </row>
    <row r="672" spans="2:11" ht="12.75">
      <c r="B672"/>
      <c r="C672"/>
      <c r="D672"/>
      <c r="E672"/>
      <c r="F672"/>
      <c r="G672"/>
      <c r="H672"/>
      <c r="I672" s="57"/>
      <c r="J672" s="40"/>
      <c r="K672" s="40"/>
    </row>
    <row r="673" spans="2:11" ht="12.75">
      <c r="B673"/>
      <c r="C673"/>
      <c r="D673"/>
      <c r="E673"/>
      <c r="F673"/>
      <c r="G673"/>
      <c r="H673"/>
      <c r="I673" s="38"/>
      <c r="J673" s="40"/>
      <c r="K673" s="40"/>
    </row>
    <row r="674" spans="2:11" ht="12.75">
      <c r="B674"/>
      <c r="C674"/>
      <c r="D674"/>
      <c r="E674"/>
      <c r="F674"/>
      <c r="G674"/>
      <c r="H674"/>
      <c r="I674" s="60"/>
      <c r="J674" s="40"/>
      <c r="K674" s="40"/>
    </row>
    <row r="675" spans="2:11" ht="12.75">
      <c r="B675"/>
      <c r="C675"/>
      <c r="D675"/>
      <c r="E675"/>
      <c r="F675"/>
      <c r="G675"/>
      <c r="H675" s="40"/>
      <c r="I675"/>
      <c r="J675"/>
      <c r="K675"/>
    </row>
    <row r="676" spans="2:11" ht="12.75">
      <c r="B676" s="52"/>
      <c r="C676" s="52"/>
      <c r="D676" s="52"/>
      <c r="E676"/>
      <c r="F676"/>
      <c r="G676"/>
      <c r="H676" s="40"/>
      <c r="I676"/>
      <c r="J676"/>
      <c r="K676"/>
    </row>
    <row r="677" spans="2:11" ht="12.75">
      <c r="B677"/>
      <c r="C677"/>
      <c r="D677"/>
      <c r="E677" s="61"/>
      <c r="F677"/>
      <c r="G677"/>
      <c r="H677"/>
      <c r="I677"/>
      <c r="J677"/>
      <c r="K677"/>
    </row>
    <row r="678" spans="2:11" ht="12.75">
      <c r="B678" s="507"/>
      <c r="C678" s="62"/>
      <c r="D678" s="62"/>
      <c r="E678" s="62"/>
      <c r="F678" s="62"/>
      <c r="G678" s="507"/>
      <c r="H678" s="507"/>
      <c r="I678" s="507"/>
      <c r="J678" s="507"/>
      <c r="K678" s="507"/>
    </row>
    <row r="679" spans="2:11" ht="12.75">
      <c r="B679" s="507"/>
      <c r="C679" s="62"/>
      <c r="D679" s="62"/>
      <c r="E679" s="62"/>
      <c r="F679" s="62"/>
      <c r="G679" s="62"/>
      <c r="H679" s="62"/>
      <c r="I679" s="508"/>
      <c r="J679" s="508"/>
      <c r="K679" s="508"/>
    </row>
    <row r="680" spans="2:11" ht="12.75">
      <c r="B680" s="53"/>
      <c r="C680" s="53"/>
      <c r="D680" s="53"/>
      <c r="E680" s="63"/>
      <c r="F680" s="40"/>
      <c r="G680" s="40"/>
      <c r="H680" s="54"/>
      <c r="I680" s="40"/>
      <c r="J680" s="40"/>
      <c r="K680" s="45"/>
    </row>
    <row r="681" spans="2:11" ht="12.75">
      <c r="B681" s="53"/>
      <c r="C681" s="53"/>
      <c r="D681" s="53"/>
      <c r="E681" s="63"/>
      <c r="F681" s="40"/>
      <c r="G681" s="40"/>
      <c r="H681" s="54"/>
      <c r="I681" s="40"/>
      <c r="J681" s="44"/>
      <c r="K681" s="45"/>
    </row>
    <row r="682" spans="2:11" ht="12.75">
      <c r="B682" s="53"/>
      <c r="C682" s="53"/>
      <c r="D682" s="53"/>
      <c r="E682" s="63"/>
      <c r="F682" s="40"/>
      <c r="G682" s="40"/>
      <c r="H682" s="54"/>
      <c r="I682" s="40"/>
      <c r="J682" s="44"/>
      <c r="K682"/>
    </row>
    <row r="683" spans="2:11" ht="12.75">
      <c r="B683" s="53"/>
      <c r="C683" s="53"/>
      <c r="D683" s="53"/>
      <c r="E683" s="63"/>
      <c r="F683" s="40"/>
      <c r="G683" s="40"/>
      <c r="H683" s="54"/>
      <c r="I683" s="40"/>
      <c r="J683" s="44"/>
      <c r="K683" s="45"/>
    </row>
    <row r="684" spans="2:11" ht="12.75">
      <c r="B684" s="53"/>
      <c r="C684" s="53"/>
      <c r="D684" s="53"/>
      <c r="E684" s="64"/>
      <c r="F684" s="40"/>
      <c r="G684" s="40"/>
      <c r="H684" s="54"/>
      <c r="I684" s="40"/>
      <c r="J684" s="44"/>
      <c r="K684" s="45"/>
    </row>
    <row r="685" spans="2:11" ht="12.75">
      <c r="B685" s="53"/>
      <c r="C685" s="53"/>
      <c r="D685" s="53"/>
      <c r="E685" s="64"/>
      <c r="F685" s="40"/>
      <c r="G685" s="40"/>
      <c r="H685" s="54"/>
      <c r="I685" s="40"/>
      <c r="J685" s="44"/>
      <c r="K685" s="45"/>
    </row>
    <row r="686" spans="2:11" ht="12.75">
      <c r="B686" s="53"/>
      <c r="C686" s="53"/>
      <c r="D686" s="53"/>
      <c r="E686" s="64"/>
      <c r="F686" s="40"/>
      <c r="G686" s="40"/>
      <c r="H686" s="54"/>
      <c r="I686" s="40"/>
      <c r="J686" s="44"/>
      <c r="K686" s="45"/>
    </row>
    <row r="687" spans="2:11" ht="12.75">
      <c r="B687" s="53"/>
      <c r="C687" s="53"/>
      <c r="D687" s="53"/>
      <c r="E687" s="64"/>
      <c r="F687" s="40"/>
      <c r="G687" s="40"/>
      <c r="H687" s="54"/>
      <c r="I687" s="40"/>
      <c r="J687" s="44"/>
      <c r="K687" s="45"/>
    </row>
    <row r="688" spans="2:11" ht="12.75">
      <c r="B688" s="53"/>
      <c r="C688" s="53"/>
      <c r="D688" s="53"/>
      <c r="E688" s="64"/>
      <c r="F688" s="40"/>
      <c r="G688" s="40"/>
      <c r="H688" s="54"/>
      <c r="I688" s="40"/>
      <c r="J688" s="44"/>
      <c r="K688" s="45"/>
    </row>
    <row r="689" spans="2:11" ht="12.75">
      <c r="B689" s="53"/>
      <c r="C689" s="53"/>
      <c r="D689" s="53"/>
      <c r="E689" s="64"/>
      <c r="F689" s="40"/>
      <c r="G689" s="40"/>
      <c r="H689" s="54"/>
      <c r="I689" s="40"/>
      <c r="J689" s="44"/>
      <c r="K689" s="45"/>
    </row>
    <row r="690" spans="2:11" ht="12.75">
      <c r="B690" s="53"/>
      <c r="C690" s="53"/>
      <c r="D690" s="53"/>
      <c r="E690" s="64"/>
      <c r="F690" s="40"/>
      <c r="G690" s="40"/>
      <c r="H690" s="54"/>
      <c r="I690" s="40"/>
      <c r="J690" s="44"/>
      <c r="K690" s="45"/>
    </row>
    <row r="691" spans="2:11" ht="12.75">
      <c r="B691" s="53"/>
      <c r="C691" s="53"/>
      <c r="D691" s="53"/>
      <c r="E691" s="64"/>
      <c r="F691" s="40"/>
      <c r="G691" s="40"/>
      <c r="H691" s="54"/>
      <c r="I691" s="40"/>
      <c r="J691" s="44"/>
      <c r="K691" s="45"/>
    </row>
    <row r="692" spans="2:11" ht="12.75">
      <c r="B692" s="53"/>
      <c r="C692" s="53"/>
      <c r="D692" s="53"/>
      <c r="E692" s="64"/>
      <c r="F692" s="40"/>
      <c r="G692" s="40"/>
      <c r="H692" s="54"/>
      <c r="I692" s="40"/>
      <c r="J692" s="44"/>
      <c r="K692" s="45"/>
    </row>
    <row r="693" spans="2:11" ht="12.75">
      <c r="B693" s="53"/>
      <c r="C693" s="53"/>
      <c r="D693" s="53"/>
      <c r="E693" s="64"/>
      <c r="F693" s="40"/>
      <c r="G693" s="40"/>
      <c r="H693" s="54"/>
      <c r="I693" s="40"/>
      <c r="J693" s="44"/>
      <c r="K693" s="45"/>
    </row>
    <row r="694" spans="2:11" ht="12.75">
      <c r="B694" s="53"/>
      <c r="C694" s="53"/>
      <c r="D694" s="53"/>
      <c r="E694" s="64"/>
      <c r="F694" s="40"/>
      <c r="G694" s="40"/>
      <c r="H694" s="54"/>
      <c r="I694" s="40"/>
      <c r="J694" s="44"/>
      <c r="K694" s="45"/>
    </row>
    <row r="695" spans="2:11" ht="12.75">
      <c r="B695" s="53"/>
      <c r="C695" s="53"/>
      <c r="D695" s="53"/>
      <c r="E695" s="64"/>
      <c r="F695" s="40"/>
      <c r="G695" s="40"/>
      <c r="H695" s="54"/>
      <c r="I695" s="40"/>
      <c r="J695" s="44"/>
      <c r="K695" s="45"/>
    </row>
    <row r="696" spans="2:11" ht="12.75">
      <c r="B696" s="53"/>
      <c r="C696" s="53"/>
      <c r="D696" s="53"/>
      <c r="E696" s="64"/>
      <c r="F696" s="40"/>
      <c r="G696" s="40"/>
      <c r="H696" s="54"/>
      <c r="I696" s="40"/>
      <c r="J696" s="44"/>
      <c r="K696" s="45"/>
    </row>
    <row r="697" spans="2:11" ht="12.75">
      <c r="B697" s="53"/>
      <c r="C697" s="53"/>
      <c r="D697" s="53"/>
      <c r="E697" s="64"/>
      <c r="F697" s="40"/>
      <c r="G697" s="40"/>
      <c r="H697" s="54"/>
      <c r="I697" s="40"/>
      <c r="J697" s="44"/>
      <c r="K697" s="45"/>
    </row>
    <row r="698" spans="2:11" ht="12.75">
      <c r="B698" s="53"/>
      <c r="C698" s="53"/>
      <c r="D698" s="53"/>
      <c r="E698" s="64"/>
      <c r="F698" s="40"/>
      <c r="G698" s="40"/>
      <c r="H698" s="54"/>
      <c r="I698" s="40"/>
      <c r="J698" s="44"/>
      <c r="K698" s="45"/>
    </row>
    <row r="699" spans="2:11" ht="12.75">
      <c r="B699" s="53"/>
      <c r="C699" s="53"/>
      <c r="D699" s="53"/>
      <c r="E699" s="64"/>
      <c r="F699" s="40"/>
      <c r="G699" s="40"/>
      <c r="H699" s="54"/>
      <c r="I699" s="40"/>
      <c r="J699" s="44"/>
      <c r="K699" s="45"/>
    </row>
    <row r="700" spans="2:11" ht="12.75">
      <c r="B700" s="53"/>
      <c r="C700" s="53"/>
      <c r="D700" s="53"/>
      <c r="E700" s="64"/>
      <c r="F700" s="40"/>
      <c r="G700" s="40"/>
      <c r="H700" s="54"/>
      <c r="I700" s="40"/>
      <c r="J700" s="44"/>
      <c r="K700" s="45"/>
    </row>
    <row r="701" spans="2:11" ht="12.75">
      <c r="B701" s="53"/>
      <c r="C701" s="53"/>
      <c r="D701" s="53"/>
      <c r="E701" s="64"/>
      <c r="F701" s="40"/>
      <c r="G701" s="40"/>
      <c r="H701" s="54"/>
      <c r="I701" s="40"/>
      <c r="J701" s="44"/>
      <c r="K701" s="45"/>
    </row>
    <row r="702" spans="2:11" ht="12.75">
      <c r="B702" s="53"/>
      <c r="C702" s="53"/>
      <c r="D702" s="53"/>
      <c r="E702" s="64"/>
      <c r="F702" s="40"/>
      <c r="G702" s="40"/>
      <c r="H702" s="54"/>
      <c r="I702" s="40"/>
      <c r="J702" s="44"/>
      <c r="K702" s="45"/>
    </row>
    <row r="703" spans="2:11" ht="12.75">
      <c r="B703" s="53"/>
      <c r="C703" s="53"/>
      <c r="D703" s="53"/>
      <c r="E703" s="64"/>
      <c r="F703" s="40"/>
      <c r="G703" s="40"/>
      <c r="H703" s="54"/>
      <c r="I703" s="40"/>
      <c r="J703" s="44"/>
      <c r="K703" s="45"/>
    </row>
    <row r="704" spans="2:11" ht="12.75">
      <c r="B704" s="53"/>
      <c r="C704" s="53"/>
      <c r="D704" s="53"/>
      <c r="E704" s="64"/>
      <c r="F704" s="40"/>
      <c r="G704" s="40"/>
      <c r="H704" s="54"/>
      <c r="I704" s="40"/>
      <c r="J704" s="44"/>
      <c r="K704" s="45"/>
    </row>
    <row r="707" spans="2:11" ht="20.25">
      <c r="B707" s="506"/>
      <c r="C707" s="506"/>
      <c r="D707" s="506"/>
      <c r="E707" s="506"/>
      <c r="F707" s="506"/>
      <c r="G707" s="43"/>
      <c r="H707" s="43"/>
      <c r="I707" s="43"/>
      <c r="J707" s="43"/>
      <c r="K707" s="43"/>
    </row>
    <row r="708" spans="2:11" ht="12.75">
      <c r="B708" s="55"/>
      <c r="C708" s="55"/>
      <c r="D708" s="55"/>
      <c r="E708" s="55"/>
      <c r="F708" s="55"/>
      <c r="G708" s="55"/>
      <c r="H708" s="55"/>
      <c r="I708" s="56"/>
      <c r="J708" s="56"/>
      <c r="K708" s="510"/>
    </row>
    <row r="709" spans="2:11" ht="12.75">
      <c r="B709" s="55"/>
      <c r="C709" s="55"/>
      <c r="D709" s="55"/>
      <c r="E709" s="55"/>
      <c r="F709" s="55"/>
      <c r="G709" s="55"/>
      <c r="H709" s="55"/>
      <c r="I709" s="56"/>
      <c r="J709" s="56"/>
      <c r="K709" s="510"/>
    </row>
    <row r="710" spans="2:11" ht="12.75">
      <c r="B710"/>
      <c r="C710"/>
      <c r="D710"/>
      <c r="E710"/>
      <c r="F710"/>
      <c r="G710"/>
      <c r="H710"/>
      <c r="I710"/>
      <c r="J710" s="40"/>
      <c r="K710"/>
    </row>
    <row r="711" spans="2:11" ht="12.75">
      <c r="B711"/>
      <c r="C711"/>
      <c r="D711"/>
      <c r="E711"/>
      <c r="F711"/>
      <c r="G711"/>
      <c r="H711"/>
      <c r="I711" s="47"/>
      <c r="J711" s="57"/>
      <c r="K711" s="40"/>
    </row>
    <row r="712" spans="2:11" ht="12.75">
      <c r="B712"/>
      <c r="C712"/>
      <c r="D712"/>
      <c r="E712"/>
      <c r="F712"/>
      <c r="G712"/>
      <c r="H712"/>
      <c r="I712" s="48"/>
      <c r="J712" s="57"/>
      <c r="K712" s="40"/>
    </row>
    <row r="713" spans="2:11" ht="12.75">
      <c r="B713"/>
      <c r="C713"/>
      <c r="D713"/>
      <c r="E713"/>
      <c r="F713"/>
      <c r="G713"/>
      <c r="H713"/>
      <c r="I713" s="49"/>
      <c r="J713" s="57"/>
      <c r="K713" s="40"/>
    </row>
    <row r="714" spans="2:11" ht="12.75">
      <c r="B714"/>
      <c r="C714"/>
      <c r="D714"/>
      <c r="E714"/>
      <c r="F714"/>
      <c r="G714"/>
      <c r="H714"/>
      <c r="I714" s="49"/>
      <c r="J714" s="57"/>
      <c r="K714" s="40"/>
    </row>
    <row r="715" spans="2:11" ht="12.75">
      <c r="B715"/>
      <c r="C715"/>
      <c r="D715"/>
      <c r="E715"/>
      <c r="F715"/>
      <c r="G715"/>
      <c r="H715"/>
      <c r="I715" s="49"/>
      <c r="J715" s="57"/>
      <c r="K715" s="40"/>
    </row>
    <row r="716" spans="2:11" ht="12.75">
      <c r="B716"/>
      <c r="C716"/>
      <c r="D716"/>
      <c r="E716"/>
      <c r="F716"/>
      <c r="G716"/>
      <c r="H716"/>
      <c r="I716" s="49"/>
      <c r="J716" s="57"/>
      <c r="K716" s="40"/>
    </row>
    <row r="717" spans="2:11" ht="12.75">
      <c r="B717"/>
      <c r="C717"/>
      <c r="D717"/>
      <c r="E717"/>
      <c r="F717"/>
      <c r="G717"/>
      <c r="H717"/>
      <c r="I717"/>
      <c r="J717"/>
      <c r="K717"/>
    </row>
    <row r="718" spans="2:11" ht="12.75">
      <c r="B718" s="55"/>
      <c r="C718" s="55"/>
      <c r="D718" s="55"/>
      <c r="E718" s="55"/>
      <c r="F718" s="55"/>
      <c r="G718" s="55"/>
      <c r="H718" s="55"/>
      <c r="I718" s="509"/>
      <c r="J718" s="58"/>
      <c r="K718" s="58"/>
    </row>
    <row r="719" spans="2:11" ht="12.75">
      <c r="B719" s="55"/>
      <c r="C719" s="55"/>
      <c r="D719" s="55"/>
      <c r="E719" s="55"/>
      <c r="F719" s="55"/>
      <c r="G719" s="55"/>
      <c r="H719" s="55"/>
      <c r="I719" s="509"/>
      <c r="J719" s="58"/>
      <c r="K719" s="58"/>
    </row>
    <row r="720" spans="2:11" ht="12.75">
      <c r="B720" s="50"/>
      <c r="C720" s="50"/>
      <c r="D720" s="50"/>
      <c r="E720"/>
      <c r="F720" s="51"/>
      <c r="G720" s="51"/>
      <c r="H720"/>
      <c r="I720" s="51"/>
      <c r="J720" s="59"/>
      <c r="K720" s="40"/>
    </row>
    <row r="721" spans="2:11" ht="12.75">
      <c r="B721"/>
      <c r="C721"/>
      <c r="D721"/>
      <c r="E721"/>
      <c r="F721"/>
      <c r="G721"/>
      <c r="H721"/>
      <c r="I721" s="40"/>
      <c r="J721" s="40"/>
      <c r="K721" s="57"/>
    </row>
    <row r="722" spans="2:11" ht="12.75">
      <c r="B722"/>
      <c r="C722"/>
      <c r="D722"/>
      <c r="E722"/>
      <c r="F722"/>
      <c r="G722"/>
      <c r="H722"/>
      <c r="I722" s="57"/>
      <c r="J722" s="40"/>
      <c r="K722" s="40"/>
    </row>
    <row r="723" spans="2:11" ht="12.75">
      <c r="B723"/>
      <c r="C723"/>
      <c r="D723"/>
      <c r="E723"/>
      <c r="F723"/>
      <c r="G723"/>
      <c r="H723"/>
      <c r="I723" s="38"/>
      <c r="J723" s="40"/>
      <c r="K723" s="40"/>
    </row>
    <row r="724" spans="2:11" ht="12.75">
      <c r="B724"/>
      <c r="C724"/>
      <c r="D724"/>
      <c r="E724"/>
      <c r="F724"/>
      <c r="G724"/>
      <c r="H724"/>
      <c r="I724" s="60"/>
      <c r="J724" s="40"/>
      <c r="K724" s="40"/>
    </row>
    <row r="725" spans="2:11" ht="12.75">
      <c r="B725"/>
      <c r="C725"/>
      <c r="D725"/>
      <c r="E725"/>
      <c r="F725"/>
      <c r="G725"/>
      <c r="H725" s="40"/>
      <c r="I725"/>
      <c r="J725"/>
      <c r="K725"/>
    </row>
    <row r="726" spans="2:11" ht="12.75">
      <c r="B726" s="52"/>
      <c r="C726" s="52"/>
      <c r="D726" s="52"/>
      <c r="E726"/>
      <c r="F726"/>
      <c r="G726"/>
      <c r="H726" s="40"/>
      <c r="I726"/>
      <c r="J726"/>
      <c r="K726"/>
    </row>
    <row r="727" spans="2:11" ht="12.75">
      <c r="B727"/>
      <c r="C727"/>
      <c r="D727"/>
      <c r="E727" s="61"/>
      <c r="F727"/>
      <c r="G727"/>
      <c r="H727"/>
      <c r="I727"/>
      <c r="J727"/>
      <c r="K727"/>
    </row>
    <row r="728" spans="2:11" ht="12.75">
      <c r="B728" s="507"/>
      <c r="C728" s="62"/>
      <c r="D728" s="62"/>
      <c r="E728" s="62"/>
      <c r="F728" s="62"/>
      <c r="G728" s="507"/>
      <c r="H728" s="507"/>
      <c r="I728" s="507"/>
      <c r="J728" s="507"/>
      <c r="K728" s="507"/>
    </row>
    <row r="729" spans="2:11" ht="12.75">
      <c r="B729" s="507"/>
      <c r="C729" s="62"/>
      <c r="D729" s="62"/>
      <c r="E729" s="62"/>
      <c r="F729" s="62"/>
      <c r="G729" s="62"/>
      <c r="H729" s="62"/>
      <c r="I729" s="508"/>
      <c r="J729" s="508"/>
      <c r="K729" s="508"/>
    </row>
    <row r="730" spans="2:11" ht="12.75">
      <c r="B730" s="53"/>
      <c r="C730" s="53"/>
      <c r="D730" s="53"/>
      <c r="E730" s="63"/>
      <c r="F730" s="40"/>
      <c r="G730" s="40"/>
      <c r="H730" s="54"/>
      <c r="I730" s="40"/>
      <c r="J730" s="40"/>
      <c r="K730" s="45"/>
    </row>
    <row r="731" spans="2:11" ht="12.75">
      <c r="B731" s="53"/>
      <c r="C731" s="53"/>
      <c r="D731" s="53"/>
      <c r="E731" s="63"/>
      <c r="F731" s="40"/>
      <c r="G731" s="40"/>
      <c r="H731" s="54"/>
      <c r="I731" s="40"/>
      <c r="J731" s="44"/>
      <c r="K731" s="45"/>
    </row>
    <row r="732" spans="2:11" ht="12.75">
      <c r="B732" s="53"/>
      <c r="C732" s="53"/>
      <c r="D732" s="53"/>
      <c r="E732" s="63"/>
      <c r="F732" s="40"/>
      <c r="G732" s="40"/>
      <c r="H732" s="54"/>
      <c r="I732" s="40"/>
      <c r="J732" s="44"/>
      <c r="K732"/>
    </row>
    <row r="733" spans="2:11" ht="12.75">
      <c r="B733" s="53"/>
      <c r="C733" s="53"/>
      <c r="D733" s="53"/>
      <c r="E733" s="63"/>
      <c r="F733" s="40"/>
      <c r="G733" s="40"/>
      <c r="H733" s="54"/>
      <c r="I733" s="40"/>
      <c r="J733" s="44"/>
      <c r="K733" s="45"/>
    </row>
    <row r="734" spans="2:11" ht="12.75">
      <c r="B734" s="53"/>
      <c r="C734" s="53"/>
      <c r="D734" s="53"/>
      <c r="E734" s="64"/>
      <c r="F734" s="40"/>
      <c r="G734" s="40"/>
      <c r="H734" s="54"/>
      <c r="I734" s="40"/>
      <c r="J734" s="44"/>
      <c r="K734" s="45"/>
    </row>
    <row r="735" spans="2:11" ht="12.75">
      <c r="B735" s="53"/>
      <c r="C735" s="53"/>
      <c r="D735" s="53"/>
      <c r="E735" s="64"/>
      <c r="F735" s="40"/>
      <c r="G735" s="40"/>
      <c r="H735" s="54"/>
      <c r="I735" s="40"/>
      <c r="J735" s="44"/>
      <c r="K735" s="45"/>
    </row>
    <row r="736" spans="2:11" ht="12.75">
      <c r="B736" s="53"/>
      <c r="C736" s="53"/>
      <c r="D736" s="53"/>
      <c r="E736" s="64"/>
      <c r="F736" s="40"/>
      <c r="G736" s="40"/>
      <c r="H736" s="54"/>
      <c r="I736" s="40"/>
      <c r="J736" s="44"/>
      <c r="K736" s="45"/>
    </row>
    <row r="737" spans="2:11" ht="12.75">
      <c r="B737" s="53"/>
      <c r="C737" s="53"/>
      <c r="D737" s="53"/>
      <c r="E737" s="64"/>
      <c r="F737" s="40"/>
      <c r="G737" s="40"/>
      <c r="H737" s="54"/>
      <c r="I737" s="40"/>
      <c r="J737" s="44"/>
      <c r="K737" s="45"/>
    </row>
    <row r="738" spans="2:11" ht="12.75">
      <c r="B738" s="53"/>
      <c r="C738" s="53"/>
      <c r="D738" s="53"/>
      <c r="E738" s="64"/>
      <c r="F738" s="40"/>
      <c r="G738" s="40"/>
      <c r="H738" s="54"/>
      <c r="I738" s="40"/>
      <c r="J738" s="44"/>
      <c r="K738" s="45"/>
    </row>
    <row r="739" spans="2:11" ht="12.75">
      <c r="B739" s="53"/>
      <c r="C739" s="53"/>
      <c r="D739" s="53"/>
      <c r="E739" s="64"/>
      <c r="F739" s="40"/>
      <c r="G739" s="40"/>
      <c r="H739" s="54"/>
      <c r="I739" s="40"/>
      <c r="J739" s="44"/>
      <c r="K739" s="45"/>
    </row>
    <row r="740" spans="2:11" ht="12.75">
      <c r="B740" s="53"/>
      <c r="C740" s="53"/>
      <c r="D740" s="53"/>
      <c r="E740" s="64"/>
      <c r="F740" s="40"/>
      <c r="G740" s="40"/>
      <c r="H740" s="54"/>
      <c r="I740" s="40"/>
      <c r="J740" s="44"/>
      <c r="K740" s="45"/>
    </row>
    <row r="741" spans="2:11" ht="12.75">
      <c r="B741" s="53"/>
      <c r="C741" s="53"/>
      <c r="D741" s="53"/>
      <c r="E741" s="64"/>
      <c r="F741" s="40"/>
      <c r="G741" s="40"/>
      <c r="H741" s="54"/>
      <c r="I741" s="40"/>
      <c r="J741" s="44"/>
      <c r="K741" s="45"/>
    </row>
    <row r="742" spans="2:11" ht="12.75">
      <c r="B742" s="53"/>
      <c r="C742" s="53"/>
      <c r="D742" s="53"/>
      <c r="E742" s="64"/>
      <c r="F742" s="40"/>
      <c r="G742" s="40"/>
      <c r="H742" s="54"/>
      <c r="I742" s="40"/>
      <c r="J742" s="44"/>
      <c r="K742" s="45"/>
    </row>
    <row r="743" spans="2:11" ht="12.75">
      <c r="B743" s="53"/>
      <c r="C743" s="53"/>
      <c r="D743" s="53"/>
      <c r="E743" s="64"/>
      <c r="F743" s="40"/>
      <c r="G743" s="40"/>
      <c r="H743" s="54"/>
      <c r="I743" s="40"/>
      <c r="J743" s="44"/>
      <c r="K743" s="45"/>
    </row>
    <row r="744" spans="2:11" ht="12.75">
      <c r="B744" s="53"/>
      <c r="C744" s="53"/>
      <c r="D744" s="53"/>
      <c r="E744" s="64"/>
      <c r="F744" s="40"/>
      <c r="G744" s="40"/>
      <c r="H744" s="54"/>
      <c r="I744" s="40"/>
      <c r="J744" s="44"/>
      <c r="K744" s="45"/>
    </row>
    <row r="745" spans="2:11" ht="12.75">
      <c r="B745" s="53"/>
      <c r="C745" s="53"/>
      <c r="D745" s="53"/>
      <c r="E745" s="64"/>
      <c r="F745" s="40"/>
      <c r="G745" s="40"/>
      <c r="H745" s="54"/>
      <c r="I745" s="40"/>
      <c r="J745" s="44"/>
      <c r="K745" s="45"/>
    </row>
    <row r="746" spans="2:11" ht="12.75">
      <c r="B746" s="53"/>
      <c r="C746" s="53"/>
      <c r="D746" s="53"/>
      <c r="E746" s="64"/>
      <c r="F746" s="40"/>
      <c r="G746" s="40"/>
      <c r="H746" s="54"/>
      <c r="I746" s="40"/>
      <c r="J746" s="44"/>
      <c r="K746" s="45"/>
    </row>
    <row r="747" spans="2:11" ht="12.75">
      <c r="B747" s="53"/>
      <c r="C747" s="53"/>
      <c r="D747" s="53"/>
      <c r="E747" s="64"/>
      <c r="F747" s="40"/>
      <c r="G747" s="40"/>
      <c r="H747" s="54"/>
      <c r="I747" s="40"/>
      <c r="J747" s="44"/>
      <c r="K747" s="45"/>
    </row>
    <row r="748" spans="2:11" ht="12.75">
      <c r="B748" s="53"/>
      <c r="C748" s="53"/>
      <c r="D748" s="53"/>
      <c r="E748" s="64"/>
      <c r="F748" s="40"/>
      <c r="G748" s="40"/>
      <c r="H748" s="54"/>
      <c r="I748" s="40"/>
      <c r="J748" s="44"/>
      <c r="K748" s="45"/>
    </row>
    <row r="749" spans="2:11" ht="12.75">
      <c r="B749" s="53"/>
      <c r="C749" s="53"/>
      <c r="D749" s="53"/>
      <c r="E749" s="64"/>
      <c r="F749" s="40"/>
      <c r="G749" s="40"/>
      <c r="H749" s="54"/>
      <c r="I749" s="40"/>
      <c r="J749" s="44"/>
      <c r="K749" s="45"/>
    </row>
    <row r="750" spans="2:11" ht="12.75">
      <c r="B750" s="53"/>
      <c r="C750" s="53"/>
      <c r="D750" s="53"/>
      <c r="E750" s="64"/>
      <c r="F750" s="40"/>
      <c r="G750" s="40"/>
      <c r="H750" s="54"/>
      <c r="I750" s="40"/>
      <c r="J750" s="44"/>
      <c r="K750" s="45"/>
    </row>
    <row r="751" spans="2:11" ht="12.75">
      <c r="B751" s="53"/>
      <c r="C751" s="53"/>
      <c r="D751" s="53"/>
      <c r="E751" s="64"/>
      <c r="F751" s="40"/>
      <c r="G751" s="40"/>
      <c r="H751" s="54"/>
      <c r="I751" s="40"/>
      <c r="J751" s="44"/>
      <c r="K751" s="45"/>
    </row>
    <row r="752" spans="2:11" ht="12.75">
      <c r="B752" s="53"/>
      <c r="C752" s="53"/>
      <c r="D752" s="53"/>
      <c r="E752" s="64"/>
      <c r="F752" s="40"/>
      <c r="G752" s="40"/>
      <c r="H752" s="54"/>
      <c r="I752" s="40"/>
      <c r="J752" s="44"/>
      <c r="K752" s="45"/>
    </row>
    <row r="753" spans="2:11" ht="12.75">
      <c r="B753" s="53"/>
      <c r="C753" s="53"/>
      <c r="D753" s="53"/>
      <c r="E753" s="64"/>
      <c r="F753" s="40"/>
      <c r="G753" s="40"/>
      <c r="H753" s="54"/>
      <c r="I753" s="40"/>
      <c r="J753" s="44"/>
      <c r="K753" s="45"/>
    </row>
    <row r="754" spans="2:11" ht="12.75">
      <c r="B754" s="53"/>
      <c r="C754" s="53"/>
      <c r="D754" s="53"/>
      <c r="E754" s="64"/>
      <c r="F754" s="40"/>
      <c r="G754" s="40"/>
      <c r="H754" s="54"/>
      <c r="I754" s="40"/>
      <c r="J754" s="44"/>
      <c r="K754" s="45"/>
    </row>
    <row r="756" spans="2:11" ht="20.25">
      <c r="B756" s="42"/>
      <c r="C756" s="42"/>
      <c r="D756" s="42"/>
      <c r="E756" s="41"/>
      <c r="I756" s="43"/>
      <c r="J756" s="43"/>
      <c r="K756" s="43"/>
    </row>
    <row r="757" spans="2:11" ht="20.25">
      <c r="B757" s="506"/>
      <c r="C757" s="506"/>
      <c r="D757" s="506"/>
      <c r="E757" s="506"/>
      <c r="F757" s="506"/>
      <c r="G757" s="43"/>
      <c r="H757" s="43"/>
      <c r="I757" s="43"/>
      <c r="J757" s="43"/>
      <c r="K757" s="43"/>
    </row>
    <row r="758" spans="2:11" ht="12.75">
      <c r="B758" s="55"/>
      <c r="C758" s="55"/>
      <c r="D758" s="55"/>
      <c r="E758" s="55"/>
      <c r="F758" s="55"/>
      <c r="G758" s="55"/>
      <c r="H758" s="55"/>
      <c r="I758" s="56"/>
      <c r="J758" s="56"/>
      <c r="K758" s="510"/>
    </row>
    <row r="759" spans="2:11" ht="12.75">
      <c r="B759" s="55"/>
      <c r="C759" s="55"/>
      <c r="D759" s="55"/>
      <c r="E759" s="55"/>
      <c r="F759" s="55"/>
      <c r="G759" s="55"/>
      <c r="H759" s="55"/>
      <c r="I759" s="56"/>
      <c r="J759" s="56"/>
      <c r="K759" s="510"/>
    </row>
    <row r="760" spans="2:11" ht="12.75">
      <c r="B760"/>
      <c r="C760"/>
      <c r="D760"/>
      <c r="E760"/>
      <c r="F760"/>
      <c r="G760"/>
      <c r="H760"/>
      <c r="I760"/>
      <c r="J760" s="40"/>
      <c r="K760"/>
    </row>
    <row r="761" spans="2:11" ht="12.75">
      <c r="B761"/>
      <c r="C761"/>
      <c r="D761"/>
      <c r="E761"/>
      <c r="F761"/>
      <c r="G761"/>
      <c r="H761"/>
      <c r="I761" s="47"/>
      <c r="J761" s="57"/>
      <c r="K761" s="40"/>
    </row>
    <row r="762" spans="2:11" ht="12.75">
      <c r="B762"/>
      <c r="C762"/>
      <c r="D762"/>
      <c r="E762"/>
      <c r="F762"/>
      <c r="G762"/>
      <c r="H762"/>
      <c r="I762" s="48"/>
      <c r="J762" s="57"/>
      <c r="K762" s="40"/>
    </row>
    <row r="763" spans="2:11" ht="12.75">
      <c r="B763"/>
      <c r="C763"/>
      <c r="D763"/>
      <c r="E763"/>
      <c r="F763"/>
      <c r="G763"/>
      <c r="H763"/>
      <c r="I763" s="49"/>
      <c r="J763" s="57"/>
      <c r="K763" s="40"/>
    </row>
    <row r="764" spans="2:11" ht="12.75">
      <c r="B764"/>
      <c r="C764"/>
      <c r="D764"/>
      <c r="E764"/>
      <c r="F764"/>
      <c r="G764"/>
      <c r="H764"/>
      <c r="I764" s="49"/>
      <c r="J764" s="57"/>
      <c r="K764" s="40"/>
    </row>
    <row r="765" spans="2:11" ht="12.75">
      <c r="B765"/>
      <c r="C765"/>
      <c r="D765"/>
      <c r="E765"/>
      <c r="F765"/>
      <c r="G765"/>
      <c r="H765"/>
      <c r="I765" s="49"/>
      <c r="J765" s="57"/>
      <c r="K765" s="40"/>
    </row>
    <row r="766" spans="2:11" ht="12.75">
      <c r="B766"/>
      <c r="C766"/>
      <c r="D766"/>
      <c r="E766"/>
      <c r="F766"/>
      <c r="G766"/>
      <c r="H766"/>
      <c r="I766" s="49"/>
      <c r="J766" s="57"/>
      <c r="K766" s="40"/>
    </row>
    <row r="767" spans="2:11" ht="12.75">
      <c r="B767"/>
      <c r="C767"/>
      <c r="D767"/>
      <c r="E767"/>
      <c r="F767"/>
      <c r="G767"/>
      <c r="H767"/>
      <c r="I767"/>
      <c r="J767"/>
      <c r="K767"/>
    </row>
    <row r="768" spans="2:11" ht="12.75">
      <c r="B768" s="55"/>
      <c r="C768" s="55"/>
      <c r="D768" s="55"/>
      <c r="E768" s="55"/>
      <c r="F768" s="55"/>
      <c r="G768" s="55"/>
      <c r="H768" s="55"/>
      <c r="I768" s="509"/>
      <c r="J768" s="58"/>
      <c r="K768" s="58"/>
    </row>
    <row r="769" spans="2:11" ht="12.75">
      <c r="B769" s="55"/>
      <c r="C769" s="55"/>
      <c r="D769" s="55"/>
      <c r="E769" s="55"/>
      <c r="F769" s="55"/>
      <c r="G769" s="55"/>
      <c r="H769" s="55"/>
      <c r="I769" s="509"/>
      <c r="J769" s="58"/>
      <c r="K769" s="58"/>
    </row>
    <row r="770" spans="2:11" ht="12.75">
      <c r="B770" s="50"/>
      <c r="C770" s="50"/>
      <c r="D770" s="50"/>
      <c r="E770"/>
      <c r="F770" s="51"/>
      <c r="G770" s="51"/>
      <c r="H770"/>
      <c r="I770" s="51"/>
      <c r="J770" s="59"/>
      <c r="K770" s="40"/>
    </row>
    <row r="771" spans="2:11" ht="12.75">
      <c r="B771"/>
      <c r="C771"/>
      <c r="D771"/>
      <c r="E771"/>
      <c r="F771"/>
      <c r="G771"/>
      <c r="H771"/>
      <c r="I771" s="40"/>
      <c r="J771" s="40"/>
      <c r="K771" s="57"/>
    </row>
    <row r="772" spans="2:11" ht="12.75">
      <c r="B772"/>
      <c r="C772"/>
      <c r="D772"/>
      <c r="E772"/>
      <c r="F772"/>
      <c r="G772"/>
      <c r="H772"/>
      <c r="I772" s="57"/>
      <c r="J772" s="40"/>
      <c r="K772" s="40"/>
    </row>
    <row r="773" spans="2:11" ht="12.75">
      <c r="B773"/>
      <c r="C773"/>
      <c r="D773"/>
      <c r="E773"/>
      <c r="F773"/>
      <c r="G773"/>
      <c r="H773"/>
      <c r="I773" s="38"/>
      <c r="J773" s="40"/>
      <c r="K773" s="40"/>
    </row>
    <row r="774" spans="2:11" ht="12.75">
      <c r="B774"/>
      <c r="C774"/>
      <c r="D774"/>
      <c r="E774"/>
      <c r="F774"/>
      <c r="G774"/>
      <c r="H774"/>
      <c r="I774" s="60"/>
      <c r="J774" s="40"/>
      <c r="K774" s="40"/>
    </row>
    <row r="775" spans="2:11" ht="12.75">
      <c r="B775"/>
      <c r="C775"/>
      <c r="D775"/>
      <c r="E775"/>
      <c r="F775"/>
      <c r="G775"/>
      <c r="H775" s="40"/>
      <c r="I775"/>
      <c r="J775"/>
      <c r="K775"/>
    </row>
    <row r="776" spans="2:11" ht="12.75">
      <c r="B776" s="52"/>
      <c r="C776" s="52"/>
      <c r="D776" s="52"/>
      <c r="E776"/>
      <c r="F776"/>
      <c r="G776"/>
      <c r="H776" s="40"/>
      <c r="I776"/>
      <c r="J776"/>
      <c r="K776"/>
    </row>
    <row r="777" spans="2:11" ht="12.75">
      <c r="B777"/>
      <c r="C777"/>
      <c r="D777"/>
      <c r="E777" s="61"/>
      <c r="F777"/>
      <c r="G777"/>
      <c r="H777"/>
      <c r="I777"/>
      <c r="J777"/>
      <c r="K777"/>
    </row>
    <row r="778" spans="2:11" ht="12.75">
      <c r="B778" s="507"/>
      <c r="C778" s="62"/>
      <c r="D778" s="62"/>
      <c r="E778" s="62"/>
      <c r="F778" s="62"/>
      <c r="G778" s="507"/>
      <c r="H778" s="507"/>
      <c r="I778" s="507"/>
      <c r="J778" s="507"/>
      <c r="K778" s="507"/>
    </row>
    <row r="779" spans="2:11" ht="12.75">
      <c r="B779" s="507"/>
      <c r="C779" s="62"/>
      <c r="D779" s="62"/>
      <c r="E779" s="62"/>
      <c r="F779" s="62"/>
      <c r="G779" s="62"/>
      <c r="H779" s="62"/>
      <c r="I779" s="508"/>
      <c r="J779" s="508"/>
      <c r="K779" s="508"/>
    </row>
    <row r="780" spans="2:11" ht="12.75">
      <c r="B780" s="53"/>
      <c r="C780" s="53"/>
      <c r="D780" s="53"/>
      <c r="E780" s="63"/>
      <c r="F780" s="40"/>
      <c r="G780" s="40"/>
      <c r="H780" s="54"/>
      <c r="I780" s="40"/>
      <c r="J780" s="40"/>
      <c r="K780" s="45"/>
    </row>
    <row r="781" spans="2:11" ht="12.75">
      <c r="B781" s="53"/>
      <c r="C781" s="53"/>
      <c r="D781" s="53"/>
      <c r="E781" s="63"/>
      <c r="F781" s="40"/>
      <c r="G781" s="40"/>
      <c r="H781" s="54"/>
      <c r="I781" s="40"/>
      <c r="J781" s="44"/>
      <c r="K781" s="45"/>
    </row>
    <row r="782" spans="2:11" ht="12.75">
      <c r="B782" s="53"/>
      <c r="C782" s="53"/>
      <c r="D782" s="53"/>
      <c r="E782" s="63"/>
      <c r="F782" s="40"/>
      <c r="G782" s="40"/>
      <c r="H782" s="54"/>
      <c r="I782" s="40"/>
      <c r="J782" s="44"/>
      <c r="K782"/>
    </row>
    <row r="783" spans="2:11" ht="12.75">
      <c r="B783" s="53"/>
      <c r="C783" s="53"/>
      <c r="D783" s="53"/>
      <c r="E783" s="63"/>
      <c r="F783" s="40"/>
      <c r="G783" s="40"/>
      <c r="H783" s="54"/>
      <c r="I783" s="40"/>
      <c r="J783" s="44"/>
      <c r="K783" s="45"/>
    </row>
    <row r="784" spans="2:11" ht="12.75">
      <c r="B784" s="53"/>
      <c r="C784" s="53"/>
      <c r="D784" s="53"/>
      <c r="E784" s="64"/>
      <c r="F784" s="40"/>
      <c r="G784" s="40"/>
      <c r="H784" s="54"/>
      <c r="I784" s="40"/>
      <c r="J784" s="44"/>
      <c r="K784" s="45"/>
    </row>
    <row r="785" spans="2:11" ht="12.75">
      <c r="B785" s="53"/>
      <c r="C785" s="53"/>
      <c r="D785" s="53"/>
      <c r="E785" s="64"/>
      <c r="F785" s="40"/>
      <c r="G785" s="40"/>
      <c r="H785" s="54"/>
      <c r="I785" s="40"/>
      <c r="J785" s="44"/>
      <c r="K785" s="45"/>
    </row>
    <row r="786" spans="2:11" ht="12.75">
      <c r="B786" s="53"/>
      <c r="C786" s="53"/>
      <c r="D786" s="53"/>
      <c r="E786" s="64"/>
      <c r="F786" s="40"/>
      <c r="G786" s="40"/>
      <c r="H786" s="54"/>
      <c r="I786" s="40"/>
      <c r="J786" s="44"/>
      <c r="K786" s="45"/>
    </row>
    <row r="787" spans="2:11" ht="12.75">
      <c r="B787" s="53"/>
      <c r="C787" s="53"/>
      <c r="D787" s="53"/>
      <c r="E787" s="64"/>
      <c r="F787" s="40"/>
      <c r="G787" s="40"/>
      <c r="H787" s="54"/>
      <c r="I787" s="40"/>
      <c r="J787" s="44"/>
      <c r="K787" s="45"/>
    </row>
    <row r="788" spans="2:11" ht="12.75">
      <c r="B788" s="53"/>
      <c r="C788" s="53"/>
      <c r="D788" s="53"/>
      <c r="E788" s="64"/>
      <c r="F788" s="40"/>
      <c r="G788" s="40"/>
      <c r="H788" s="54"/>
      <c r="I788" s="40"/>
      <c r="J788" s="44"/>
      <c r="K788" s="45"/>
    </row>
    <row r="789" spans="2:11" ht="12.75">
      <c r="B789" s="53"/>
      <c r="C789" s="53"/>
      <c r="D789" s="53"/>
      <c r="E789" s="64"/>
      <c r="F789" s="40"/>
      <c r="G789" s="40"/>
      <c r="H789" s="54"/>
      <c r="I789" s="40"/>
      <c r="J789" s="44"/>
      <c r="K789" s="45"/>
    </row>
    <row r="790" spans="2:11" ht="12.75">
      <c r="B790" s="53"/>
      <c r="C790" s="53"/>
      <c r="D790" s="53"/>
      <c r="E790" s="64"/>
      <c r="F790" s="40"/>
      <c r="G790" s="40"/>
      <c r="H790" s="54"/>
      <c r="I790" s="40"/>
      <c r="J790" s="44"/>
      <c r="K790" s="45"/>
    </row>
    <row r="791" spans="2:11" ht="12.75">
      <c r="B791" s="53"/>
      <c r="C791" s="53"/>
      <c r="D791" s="53"/>
      <c r="E791" s="64"/>
      <c r="F791" s="40"/>
      <c r="G791" s="40"/>
      <c r="H791" s="54"/>
      <c r="I791" s="40"/>
      <c r="J791" s="44"/>
      <c r="K791" s="45"/>
    </row>
    <row r="792" spans="2:11" ht="12.75">
      <c r="B792" s="53"/>
      <c r="C792" s="53"/>
      <c r="D792" s="53"/>
      <c r="E792" s="64"/>
      <c r="F792" s="40"/>
      <c r="G792" s="40"/>
      <c r="H792" s="54"/>
      <c r="I792" s="40"/>
      <c r="J792" s="44"/>
      <c r="K792" s="45"/>
    </row>
    <row r="793" spans="2:11" ht="12.75">
      <c r="B793" s="53"/>
      <c r="C793" s="53"/>
      <c r="D793" s="53"/>
      <c r="E793" s="64"/>
      <c r="F793" s="40"/>
      <c r="G793" s="40"/>
      <c r="H793" s="54"/>
      <c r="I793" s="40"/>
      <c r="J793" s="44"/>
      <c r="K793" s="45"/>
    </row>
    <row r="794" spans="2:11" ht="12.75">
      <c r="B794" s="53"/>
      <c r="C794" s="53"/>
      <c r="D794" s="53"/>
      <c r="E794" s="64"/>
      <c r="F794" s="40"/>
      <c r="G794" s="40"/>
      <c r="H794" s="54"/>
      <c r="I794" s="40"/>
      <c r="J794" s="44"/>
      <c r="K794" s="45"/>
    </row>
    <row r="795" spans="2:11" ht="12.75">
      <c r="B795" s="53"/>
      <c r="C795" s="53"/>
      <c r="D795" s="53"/>
      <c r="E795" s="64"/>
      <c r="F795" s="40"/>
      <c r="G795" s="40"/>
      <c r="H795" s="54"/>
      <c r="I795" s="40"/>
      <c r="J795" s="44"/>
      <c r="K795" s="45"/>
    </row>
    <row r="796" spans="2:11" ht="12.75">
      <c r="B796" s="53"/>
      <c r="C796" s="53"/>
      <c r="D796" s="53"/>
      <c r="E796" s="64"/>
      <c r="F796" s="40"/>
      <c r="G796" s="40"/>
      <c r="H796" s="54"/>
      <c r="I796" s="40"/>
      <c r="J796" s="44"/>
      <c r="K796" s="45"/>
    </row>
    <row r="797" spans="2:11" ht="12.75">
      <c r="B797" s="53"/>
      <c r="C797" s="53"/>
      <c r="D797" s="53"/>
      <c r="E797" s="64"/>
      <c r="F797" s="40"/>
      <c r="G797" s="40"/>
      <c r="H797" s="54"/>
      <c r="I797" s="40"/>
      <c r="J797" s="44"/>
      <c r="K797" s="45"/>
    </row>
    <row r="798" spans="2:11" ht="12.75">
      <c r="B798" s="53"/>
      <c r="C798" s="53"/>
      <c r="D798" s="53"/>
      <c r="E798" s="64"/>
      <c r="F798" s="40"/>
      <c r="G798" s="40"/>
      <c r="H798" s="54"/>
      <c r="I798" s="40"/>
      <c r="J798" s="44"/>
      <c r="K798" s="45"/>
    </row>
    <row r="799" spans="2:11" ht="12.75">
      <c r="B799" s="53"/>
      <c r="C799" s="53"/>
      <c r="D799" s="53"/>
      <c r="E799" s="64"/>
      <c r="F799" s="40"/>
      <c r="G799" s="40"/>
      <c r="H799" s="54"/>
      <c r="I799" s="40"/>
      <c r="J799" s="44"/>
      <c r="K799" s="45"/>
    </row>
    <row r="800" spans="2:11" ht="12.75">
      <c r="B800" s="53"/>
      <c r="C800" s="53"/>
      <c r="D800" s="53"/>
      <c r="E800" s="64"/>
      <c r="F800" s="40"/>
      <c r="G800" s="40"/>
      <c r="H800" s="54"/>
      <c r="I800" s="40"/>
      <c r="J800" s="44"/>
      <c r="K800" s="45"/>
    </row>
    <row r="801" spans="2:11" ht="12.75">
      <c r="B801" s="53"/>
      <c r="C801" s="53"/>
      <c r="D801" s="53"/>
      <c r="E801" s="64"/>
      <c r="F801" s="40"/>
      <c r="G801" s="40"/>
      <c r="H801" s="54"/>
      <c r="I801" s="40"/>
      <c r="J801" s="44"/>
      <c r="K801" s="45"/>
    </row>
    <row r="802" spans="2:11" ht="12.75">
      <c r="B802" s="53"/>
      <c r="C802" s="53"/>
      <c r="D802" s="53"/>
      <c r="E802" s="64"/>
      <c r="F802" s="40"/>
      <c r="G802" s="40"/>
      <c r="H802" s="54"/>
      <c r="I802" s="40"/>
      <c r="J802" s="44"/>
      <c r="K802" s="45"/>
    </row>
    <row r="803" spans="2:11" ht="12.75">
      <c r="B803" s="53"/>
      <c r="C803" s="53"/>
      <c r="D803" s="53"/>
      <c r="E803" s="64"/>
      <c r="F803" s="40"/>
      <c r="G803" s="40"/>
      <c r="H803" s="54"/>
      <c r="I803" s="40"/>
      <c r="J803" s="44"/>
      <c r="K803" s="45"/>
    </row>
    <row r="804" spans="2:11" ht="12.75">
      <c r="B804" s="53"/>
      <c r="C804" s="53"/>
      <c r="D804" s="53"/>
      <c r="E804" s="64"/>
      <c r="F804" s="40"/>
      <c r="G804" s="40"/>
      <c r="H804" s="54"/>
      <c r="I804" s="40"/>
      <c r="J804" s="44"/>
      <c r="K804" s="45"/>
    </row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</sheetData>
  <dataConsolidate/>
  <mergeCells count="87">
    <mergeCell ref="D81:D84"/>
    <mergeCell ref="B454:F454"/>
    <mergeCell ref="B373:B374"/>
    <mergeCell ref="B425:B426"/>
    <mergeCell ref="D103:D107"/>
    <mergeCell ref="D188:D201"/>
    <mergeCell ref="E207:F207"/>
    <mergeCell ref="G425:H425"/>
    <mergeCell ref="B404:F404"/>
    <mergeCell ref="E186:G186"/>
    <mergeCell ref="J187:K187"/>
    <mergeCell ref="K353:K354"/>
    <mergeCell ref="I363:I364"/>
    <mergeCell ref="B352:F352"/>
    <mergeCell ref="K405:K406"/>
    <mergeCell ref="I415:I416"/>
    <mergeCell ref="G373:H373"/>
    <mergeCell ref="K373:K374"/>
    <mergeCell ref="I373:I374"/>
    <mergeCell ref="J373:J374"/>
    <mergeCell ref="E2:O2"/>
    <mergeCell ref="F31:H31"/>
    <mergeCell ref="H58:J58"/>
    <mergeCell ref="E49:F49"/>
    <mergeCell ref="G49:H49"/>
    <mergeCell ref="E48:H48"/>
    <mergeCell ref="E58:G58"/>
    <mergeCell ref="K58:M58"/>
    <mergeCell ref="K525:K526"/>
    <mergeCell ref="I515:I516"/>
    <mergeCell ref="K425:K426"/>
    <mergeCell ref="I425:I426"/>
    <mergeCell ref="K658:K659"/>
    <mergeCell ref="J525:J526"/>
    <mergeCell ref="K607:K608"/>
    <mergeCell ref="J576:J577"/>
    <mergeCell ref="K576:K577"/>
    <mergeCell ref="J425:J426"/>
    <mergeCell ref="K627:K628"/>
    <mergeCell ref="K556:K557"/>
    <mergeCell ref="K455:K456"/>
    <mergeCell ref="I465:I466"/>
    <mergeCell ref="K505:K506"/>
    <mergeCell ref="K475:K476"/>
    <mergeCell ref="B504:F504"/>
    <mergeCell ref="B475:B476"/>
    <mergeCell ref="G475:H475"/>
    <mergeCell ref="I475:I476"/>
    <mergeCell ref="J475:J476"/>
    <mergeCell ref="B657:F657"/>
    <mergeCell ref="J778:J779"/>
    <mergeCell ref="B606:F606"/>
    <mergeCell ref="J627:J628"/>
    <mergeCell ref="I668:I669"/>
    <mergeCell ref="J728:J729"/>
    <mergeCell ref="B778:B779"/>
    <mergeCell ref="G778:H778"/>
    <mergeCell ref="I778:I779"/>
    <mergeCell ref="B757:F757"/>
    <mergeCell ref="I768:I769"/>
    <mergeCell ref="K678:K679"/>
    <mergeCell ref="J678:J679"/>
    <mergeCell ref="K778:K779"/>
    <mergeCell ref="B707:F707"/>
    <mergeCell ref="K708:K709"/>
    <mergeCell ref="I718:I719"/>
    <mergeCell ref="B728:B729"/>
    <mergeCell ref="G728:H728"/>
    <mergeCell ref="I728:I729"/>
    <mergeCell ref="K728:K729"/>
    <mergeCell ref="K758:K759"/>
    <mergeCell ref="B48:B49"/>
    <mergeCell ref="B555:F555"/>
    <mergeCell ref="B678:B679"/>
    <mergeCell ref="G678:H678"/>
    <mergeCell ref="I678:I679"/>
    <mergeCell ref="B627:B628"/>
    <mergeCell ref="G627:H627"/>
    <mergeCell ref="I627:I628"/>
    <mergeCell ref="B576:B577"/>
    <mergeCell ref="G576:H576"/>
    <mergeCell ref="I576:I577"/>
    <mergeCell ref="I617:I618"/>
    <mergeCell ref="I566:I567"/>
    <mergeCell ref="B525:B526"/>
    <mergeCell ref="G525:H525"/>
    <mergeCell ref="I525:I526"/>
  </mergeCells>
  <phoneticPr fontId="5" type="noConversion"/>
  <conditionalFormatting sqref="A166:A169">
    <cfRule type="duplicateValues" dxfId="1" priority="20"/>
  </conditionalFormatting>
  <conditionalFormatting sqref="E51:H56">
    <cfRule type="expression" dxfId="0" priority="1">
      <formula>IF(E51=0,TRUE,FALSE)</formula>
    </cfRule>
  </conditionalFormatting>
  <printOptions horizontalCentered="1"/>
  <pageMargins left="0.15104166666666666" right="0.74803149606299213" top="0.98425196850393704" bottom="0.98425196850393704" header="0.51181102362204722" footer="0.51181102362204722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7">
    <tabColor rgb="FF002060"/>
  </sheetPr>
  <dimension ref="A1:V120"/>
  <sheetViews>
    <sheetView zoomScaleNormal="100" workbookViewId="0">
      <selection activeCell="B1" sqref="B1"/>
    </sheetView>
  </sheetViews>
  <sheetFormatPr defaultColWidth="9.140625" defaultRowHeight="12"/>
  <cols>
    <col min="1" max="1" width="21.140625" style="1" customWidth="1"/>
    <col min="2" max="2" width="64.5703125" style="1" customWidth="1"/>
    <col min="3" max="3" width="14.7109375" style="1" customWidth="1"/>
    <col min="4" max="4" width="14" style="1" customWidth="1"/>
    <col min="5" max="5" width="14.140625" style="1" bestFit="1" customWidth="1"/>
    <col min="6" max="6" width="13.42578125" style="1" customWidth="1"/>
    <col min="7" max="7" width="11.140625" style="1" customWidth="1"/>
    <col min="8" max="10" width="10.7109375" style="1" customWidth="1"/>
    <col min="11" max="11" width="12.7109375" style="1" customWidth="1"/>
    <col min="12" max="12" width="10.7109375" style="1" customWidth="1"/>
    <col min="13" max="13" width="12.7109375" style="1" customWidth="1"/>
    <col min="14" max="14" width="10.7109375" style="1" customWidth="1"/>
    <col min="15" max="16" width="11.5703125" style="1" customWidth="1"/>
    <col min="17" max="17" width="10.7109375" style="1" customWidth="1"/>
    <col min="18" max="18" width="14" style="1" bestFit="1" customWidth="1"/>
    <col min="19" max="19" width="12.7109375" style="1" customWidth="1"/>
    <col min="20" max="20" width="10.7109375" style="1" customWidth="1"/>
    <col min="21" max="21" width="10.140625" style="1" bestFit="1" customWidth="1"/>
    <col min="22" max="22" width="9.28515625" style="1" bestFit="1" customWidth="1"/>
    <col min="23" max="16384" width="9.140625" style="1"/>
  </cols>
  <sheetData>
    <row r="1" spans="1:22">
      <c r="A1" s="227" t="s">
        <v>344</v>
      </c>
      <c r="B1" s="306" t="s">
        <v>345</v>
      </c>
      <c r="C1" s="228" t="s">
        <v>332</v>
      </c>
      <c r="D1" s="81">
        <v>2024</v>
      </c>
      <c r="E1" s="81">
        <f>D1+1</f>
        <v>2025</v>
      </c>
      <c r="F1" s="81">
        <f>E1+1</f>
        <v>2026</v>
      </c>
      <c r="G1" s="81">
        <f t="shared" ref="G1:S1" si="0">F1+1</f>
        <v>2027</v>
      </c>
      <c r="H1" s="81">
        <f t="shared" si="0"/>
        <v>2028</v>
      </c>
      <c r="I1" s="81">
        <f t="shared" si="0"/>
        <v>2029</v>
      </c>
      <c r="J1" s="81">
        <f t="shared" si="0"/>
        <v>2030</v>
      </c>
      <c r="K1" s="81">
        <f t="shared" si="0"/>
        <v>2031</v>
      </c>
      <c r="L1" s="81">
        <f t="shared" si="0"/>
        <v>2032</v>
      </c>
      <c r="M1" s="81">
        <f t="shared" si="0"/>
        <v>2033</v>
      </c>
      <c r="N1" s="81">
        <f t="shared" si="0"/>
        <v>2034</v>
      </c>
      <c r="O1" s="81">
        <f t="shared" si="0"/>
        <v>2035</v>
      </c>
      <c r="P1" s="81">
        <f t="shared" si="0"/>
        <v>2036</v>
      </c>
      <c r="Q1" s="81">
        <f t="shared" si="0"/>
        <v>2037</v>
      </c>
      <c r="R1" s="81">
        <f t="shared" si="0"/>
        <v>2038</v>
      </c>
      <c r="S1" s="81">
        <f t="shared" si="0"/>
        <v>2039</v>
      </c>
      <c r="T1" s="229"/>
      <c r="U1" s="229"/>
    </row>
    <row r="2" spans="1:22" s="386" customFormat="1">
      <c r="B2" s="227" t="s">
        <v>329</v>
      </c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</row>
    <row r="3" spans="1:22" s="386" customFormat="1">
      <c r="A3" s="387"/>
      <c r="B3" s="36" t="s">
        <v>469</v>
      </c>
      <c r="C3" s="388" t="s">
        <v>462</v>
      </c>
      <c r="D3" s="389">
        <v>0</v>
      </c>
      <c r="E3" s="389">
        <v>0</v>
      </c>
      <c r="F3" s="389">
        <v>0</v>
      </c>
      <c r="G3" s="389">
        <v>0</v>
      </c>
      <c r="H3" s="389">
        <v>0</v>
      </c>
      <c r="I3" s="389">
        <v>0</v>
      </c>
      <c r="J3" s="389">
        <v>0</v>
      </c>
      <c r="K3" s="389">
        <v>2</v>
      </c>
      <c r="L3" s="389">
        <v>0</v>
      </c>
      <c r="M3" s="389">
        <v>14</v>
      </c>
      <c r="N3" s="389">
        <v>0</v>
      </c>
      <c r="O3" s="389">
        <v>0</v>
      </c>
      <c r="P3" s="389">
        <v>0</v>
      </c>
      <c r="Q3" s="389">
        <v>0</v>
      </c>
      <c r="R3" s="389">
        <v>0</v>
      </c>
      <c r="S3" s="389">
        <v>2</v>
      </c>
      <c r="T3" s="390"/>
      <c r="U3" s="390"/>
    </row>
    <row r="4" spans="1:22" s="386" customFormat="1">
      <c r="A4" s="387"/>
      <c r="B4" s="36" t="s">
        <v>421</v>
      </c>
      <c r="C4" s="388" t="s">
        <v>422</v>
      </c>
      <c r="D4" s="389">
        <v>0</v>
      </c>
      <c r="E4" s="389">
        <v>0</v>
      </c>
      <c r="F4" s="389">
        <v>0</v>
      </c>
      <c r="G4" s="389">
        <v>0</v>
      </c>
      <c r="H4" s="389">
        <v>0</v>
      </c>
      <c r="I4" s="389">
        <v>0</v>
      </c>
      <c r="J4" s="389">
        <v>0</v>
      </c>
      <c r="K4" s="389">
        <v>0</v>
      </c>
      <c r="L4" s="389">
        <v>0</v>
      </c>
      <c r="M4" s="389">
        <v>0</v>
      </c>
      <c r="N4" s="389">
        <v>0</v>
      </c>
      <c r="O4" s="389">
        <v>0</v>
      </c>
      <c r="P4" s="389">
        <v>3</v>
      </c>
      <c r="Q4" s="389">
        <v>0</v>
      </c>
      <c r="R4" s="389">
        <v>0</v>
      </c>
      <c r="S4" s="389">
        <v>0</v>
      </c>
      <c r="T4" s="390"/>
      <c r="U4" s="390"/>
    </row>
    <row r="5" spans="1:22" s="386" customFormat="1">
      <c r="B5" s="391" t="s">
        <v>312</v>
      </c>
      <c r="C5" s="392" t="s">
        <v>2</v>
      </c>
      <c r="D5" s="392">
        <f>SUM(D3:D4)</f>
        <v>0</v>
      </c>
      <c r="E5" s="392">
        <f>SUM(E3:E4)</f>
        <v>0</v>
      </c>
      <c r="F5" s="392">
        <f t="shared" ref="F5:S5" si="1">SUM(F3:F4)</f>
        <v>0</v>
      </c>
      <c r="G5" s="392">
        <f t="shared" si="1"/>
        <v>0</v>
      </c>
      <c r="H5" s="392">
        <f t="shared" si="1"/>
        <v>0</v>
      </c>
      <c r="I5" s="392">
        <f t="shared" si="1"/>
        <v>0</v>
      </c>
      <c r="J5" s="392">
        <f t="shared" si="1"/>
        <v>0</v>
      </c>
      <c r="K5" s="392">
        <f t="shared" si="1"/>
        <v>2</v>
      </c>
      <c r="L5" s="392">
        <f t="shared" si="1"/>
        <v>0</v>
      </c>
      <c r="M5" s="392">
        <f t="shared" si="1"/>
        <v>14</v>
      </c>
      <c r="N5" s="392">
        <f t="shared" si="1"/>
        <v>0</v>
      </c>
      <c r="O5" s="392">
        <f t="shared" si="1"/>
        <v>0</v>
      </c>
      <c r="P5" s="392">
        <f t="shared" si="1"/>
        <v>3</v>
      </c>
      <c r="Q5" s="392">
        <f t="shared" si="1"/>
        <v>0</v>
      </c>
      <c r="R5" s="392">
        <f t="shared" si="1"/>
        <v>0</v>
      </c>
      <c r="S5" s="392">
        <f t="shared" si="1"/>
        <v>2</v>
      </c>
      <c r="T5" s="304"/>
      <c r="U5" s="304"/>
    </row>
    <row r="6" spans="1:22" s="386" customFormat="1">
      <c r="P6" s="36"/>
      <c r="Q6" s="36"/>
    </row>
    <row r="7" spans="1:22">
      <c r="A7" s="227" t="s">
        <v>344</v>
      </c>
      <c r="B7" s="306" t="s">
        <v>345</v>
      </c>
      <c r="C7" s="228" t="s">
        <v>332</v>
      </c>
      <c r="D7" s="81" t="s">
        <v>331</v>
      </c>
      <c r="E7" s="81">
        <f t="shared" ref="E7:T7" si="2">D1</f>
        <v>2024</v>
      </c>
      <c r="F7" s="81">
        <f t="shared" si="2"/>
        <v>2025</v>
      </c>
      <c r="G7" s="81">
        <f t="shared" si="2"/>
        <v>2026</v>
      </c>
      <c r="H7" s="81">
        <f t="shared" si="2"/>
        <v>2027</v>
      </c>
      <c r="I7" s="81">
        <f t="shared" si="2"/>
        <v>2028</v>
      </c>
      <c r="J7" s="81">
        <f t="shared" si="2"/>
        <v>2029</v>
      </c>
      <c r="K7" s="81">
        <f t="shared" si="2"/>
        <v>2030</v>
      </c>
      <c r="L7" s="81">
        <f t="shared" si="2"/>
        <v>2031</v>
      </c>
      <c r="M7" s="81">
        <f t="shared" si="2"/>
        <v>2032</v>
      </c>
      <c r="N7" s="81">
        <f t="shared" si="2"/>
        <v>2033</v>
      </c>
      <c r="O7" s="81">
        <f t="shared" si="2"/>
        <v>2034</v>
      </c>
      <c r="P7" s="81">
        <f t="shared" si="2"/>
        <v>2035</v>
      </c>
      <c r="Q7" s="81">
        <f t="shared" si="2"/>
        <v>2036</v>
      </c>
      <c r="R7" s="81">
        <f t="shared" si="2"/>
        <v>2037</v>
      </c>
      <c r="S7" s="81">
        <f t="shared" si="2"/>
        <v>2038</v>
      </c>
      <c r="T7" s="81">
        <f t="shared" si="2"/>
        <v>2039</v>
      </c>
    </row>
    <row r="8" spans="1:22" s="386" customFormat="1">
      <c r="A8" s="393"/>
      <c r="B8" s="227" t="s">
        <v>330</v>
      </c>
      <c r="C8" s="304"/>
      <c r="D8" s="305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4"/>
      <c r="Q8" s="394"/>
      <c r="R8" s="393"/>
      <c r="S8" s="393"/>
      <c r="T8" s="393"/>
      <c r="U8" s="393"/>
      <c r="V8" s="393"/>
    </row>
    <row r="9" spans="1:22" s="386" customFormat="1">
      <c r="A9" s="387"/>
      <c r="B9" s="36" t="s">
        <v>469</v>
      </c>
      <c r="C9" s="388" t="s">
        <v>462</v>
      </c>
      <c r="D9" s="307">
        <f>Założenia!E177</f>
        <v>300000</v>
      </c>
      <c r="E9" s="303">
        <f t="shared" ref="E9:T10" si="3">$D9*D3</f>
        <v>0</v>
      </c>
      <c r="F9" s="303">
        <f t="shared" si="3"/>
        <v>0</v>
      </c>
      <c r="G9" s="303">
        <f t="shared" si="3"/>
        <v>0</v>
      </c>
      <c r="H9" s="303">
        <f t="shared" si="3"/>
        <v>0</v>
      </c>
      <c r="I9" s="303">
        <f t="shared" si="3"/>
        <v>0</v>
      </c>
      <c r="J9" s="303">
        <f t="shared" si="3"/>
        <v>0</v>
      </c>
      <c r="K9" s="303">
        <f t="shared" si="3"/>
        <v>0</v>
      </c>
      <c r="L9" s="303">
        <f t="shared" si="3"/>
        <v>600000</v>
      </c>
      <c r="M9" s="303">
        <f t="shared" si="3"/>
        <v>0</v>
      </c>
      <c r="N9" s="303">
        <f t="shared" si="3"/>
        <v>4200000</v>
      </c>
      <c r="O9" s="303">
        <f t="shared" si="3"/>
        <v>0</v>
      </c>
      <c r="P9" s="303">
        <f t="shared" si="3"/>
        <v>0</v>
      </c>
      <c r="Q9" s="303">
        <f t="shared" si="3"/>
        <v>0</v>
      </c>
      <c r="R9" s="303">
        <f t="shared" si="3"/>
        <v>0</v>
      </c>
      <c r="S9" s="303">
        <f t="shared" si="3"/>
        <v>0</v>
      </c>
      <c r="T9" s="303">
        <f t="shared" si="3"/>
        <v>600000</v>
      </c>
      <c r="U9" s="309"/>
      <c r="V9" s="309"/>
    </row>
    <row r="10" spans="1:22" s="386" customFormat="1">
      <c r="A10" s="387"/>
      <c r="B10" s="36" t="s">
        <v>421</v>
      </c>
      <c r="C10" s="388" t="s">
        <v>422</v>
      </c>
      <c r="D10" s="307">
        <f>Założenia!E179</f>
        <v>700000</v>
      </c>
      <c r="E10" s="303">
        <f>$D10*D4</f>
        <v>0</v>
      </c>
      <c r="F10" s="303">
        <f t="shared" si="3"/>
        <v>0</v>
      </c>
      <c r="G10" s="303">
        <f t="shared" si="3"/>
        <v>0</v>
      </c>
      <c r="H10" s="303">
        <f t="shared" si="3"/>
        <v>0</v>
      </c>
      <c r="I10" s="303">
        <f t="shared" si="3"/>
        <v>0</v>
      </c>
      <c r="J10" s="303">
        <f t="shared" si="3"/>
        <v>0</v>
      </c>
      <c r="K10" s="303">
        <f t="shared" si="3"/>
        <v>0</v>
      </c>
      <c r="L10" s="303">
        <f t="shared" si="3"/>
        <v>0</v>
      </c>
      <c r="M10" s="303">
        <f t="shared" si="3"/>
        <v>0</v>
      </c>
      <c r="N10" s="303">
        <f t="shared" si="3"/>
        <v>0</v>
      </c>
      <c r="O10" s="303">
        <f t="shared" si="3"/>
        <v>0</v>
      </c>
      <c r="P10" s="303">
        <f t="shared" si="3"/>
        <v>0</v>
      </c>
      <c r="Q10" s="303">
        <f t="shared" si="3"/>
        <v>2100000</v>
      </c>
      <c r="R10" s="303">
        <f t="shared" si="3"/>
        <v>0</v>
      </c>
      <c r="S10" s="303">
        <f t="shared" si="3"/>
        <v>0</v>
      </c>
      <c r="T10" s="303">
        <f t="shared" si="3"/>
        <v>0</v>
      </c>
      <c r="U10" s="309"/>
      <c r="V10" s="309"/>
    </row>
    <row r="11" spans="1:22" s="11" customFormat="1">
      <c r="B11" s="308" t="s">
        <v>312</v>
      </c>
      <c r="C11" s="310" t="s">
        <v>2</v>
      </c>
      <c r="D11" s="310" t="s">
        <v>2</v>
      </c>
      <c r="E11" s="33">
        <f>SUM(E9:E10)</f>
        <v>0</v>
      </c>
      <c r="F11" s="33">
        <f t="shared" ref="F11:T11" si="4">SUM(F9:F10)</f>
        <v>0</v>
      </c>
      <c r="G11" s="33">
        <f t="shared" si="4"/>
        <v>0</v>
      </c>
      <c r="H11" s="33">
        <f t="shared" si="4"/>
        <v>0</v>
      </c>
      <c r="I11" s="33">
        <f t="shared" si="4"/>
        <v>0</v>
      </c>
      <c r="J11" s="33">
        <f t="shared" si="4"/>
        <v>0</v>
      </c>
      <c r="K11" s="33">
        <f t="shared" si="4"/>
        <v>0</v>
      </c>
      <c r="L11" s="33">
        <f t="shared" si="4"/>
        <v>600000</v>
      </c>
      <c r="M11" s="33">
        <f t="shared" si="4"/>
        <v>0</v>
      </c>
      <c r="N11" s="33">
        <f t="shared" si="4"/>
        <v>4200000</v>
      </c>
      <c r="O11" s="33">
        <f t="shared" si="4"/>
        <v>0</v>
      </c>
      <c r="P11" s="33">
        <f t="shared" si="4"/>
        <v>0</v>
      </c>
      <c r="Q11" s="33">
        <f t="shared" si="4"/>
        <v>2100000</v>
      </c>
      <c r="R11" s="33">
        <f t="shared" si="4"/>
        <v>0</v>
      </c>
      <c r="S11" s="33">
        <f t="shared" si="4"/>
        <v>0</v>
      </c>
      <c r="T11" s="33">
        <f t="shared" si="4"/>
        <v>600000</v>
      </c>
      <c r="U11" s="88"/>
      <c r="V11" s="88"/>
    </row>
    <row r="12" spans="1:22">
      <c r="C12" s="6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395"/>
      <c r="V12" s="395"/>
    </row>
    <row r="13" spans="1:22">
      <c r="A13" s="227" t="s">
        <v>344</v>
      </c>
      <c r="B13" s="306" t="s">
        <v>345</v>
      </c>
      <c r="C13" s="81"/>
      <c r="D13" s="81"/>
      <c r="E13" s="81">
        <f>E7</f>
        <v>2024</v>
      </c>
      <c r="F13" s="81">
        <f>E13+1</f>
        <v>2025</v>
      </c>
      <c r="G13" s="81">
        <f t="shared" ref="G13" si="5">F13+1</f>
        <v>2026</v>
      </c>
      <c r="H13" s="81">
        <f t="shared" ref="H13" si="6">G13+1</f>
        <v>2027</v>
      </c>
      <c r="I13" s="81">
        <f t="shared" ref="I13" si="7">H13+1</f>
        <v>2028</v>
      </c>
      <c r="J13" s="81">
        <f t="shared" ref="J13" si="8">I13+1</f>
        <v>2029</v>
      </c>
      <c r="K13" s="81">
        <f t="shared" ref="K13" si="9">J13+1</f>
        <v>2030</v>
      </c>
      <c r="L13" s="81">
        <f t="shared" ref="L13" si="10">K13+1</f>
        <v>2031</v>
      </c>
      <c r="M13" s="81">
        <f t="shared" ref="M13" si="11">L13+1</f>
        <v>2032</v>
      </c>
      <c r="N13" s="81">
        <f t="shared" ref="N13" si="12">M13+1</f>
        <v>2033</v>
      </c>
      <c r="O13" s="81">
        <f t="shared" ref="O13" si="13">N13+1</f>
        <v>2034</v>
      </c>
      <c r="P13" s="81">
        <f t="shared" ref="P13" si="14">O13+1</f>
        <v>2035</v>
      </c>
      <c r="Q13" s="81">
        <f t="shared" ref="Q13" si="15">P13+1</f>
        <v>2036</v>
      </c>
      <c r="R13" s="81">
        <f t="shared" ref="R13" si="16">Q13+1</f>
        <v>2037</v>
      </c>
      <c r="S13" s="81">
        <f t="shared" ref="S13" si="17">R13+1</f>
        <v>2038</v>
      </c>
      <c r="T13" s="81">
        <f t="shared" ref="T13" si="18">S13+1</f>
        <v>2039</v>
      </c>
    </row>
    <row r="14" spans="1:22">
      <c r="E14" s="86"/>
    </row>
    <row r="15" spans="1:22">
      <c r="A15" s="82"/>
      <c r="B15" s="323" t="s">
        <v>32</v>
      </c>
      <c r="C15" s="83"/>
      <c r="D15" s="83"/>
      <c r="E15" s="396"/>
      <c r="F15" s="396"/>
      <c r="G15" s="396"/>
      <c r="H15" s="396"/>
      <c r="I15" s="396"/>
      <c r="J15" s="396"/>
    </row>
    <row r="16" spans="1:22">
      <c r="A16" s="82"/>
      <c r="B16" s="83" t="s">
        <v>328</v>
      </c>
      <c r="C16" s="325" t="s">
        <v>46</v>
      </c>
      <c r="D16" s="83"/>
      <c r="E16" s="397">
        <f>E11</f>
        <v>0</v>
      </c>
      <c r="F16" s="397">
        <f>F11</f>
        <v>0</v>
      </c>
      <c r="G16" s="397">
        <f t="shared" ref="G16:T16" si="19">G11</f>
        <v>0</v>
      </c>
      <c r="H16" s="397">
        <f t="shared" si="19"/>
        <v>0</v>
      </c>
      <c r="I16" s="397">
        <f t="shared" si="19"/>
        <v>0</v>
      </c>
      <c r="J16" s="397">
        <f t="shared" si="19"/>
        <v>0</v>
      </c>
      <c r="K16" s="397">
        <f t="shared" si="19"/>
        <v>0</v>
      </c>
      <c r="L16" s="397">
        <f t="shared" si="19"/>
        <v>600000</v>
      </c>
      <c r="M16" s="397">
        <f t="shared" si="19"/>
        <v>0</v>
      </c>
      <c r="N16" s="397">
        <f t="shared" si="19"/>
        <v>4200000</v>
      </c>
      <c r="O16" s="397">
        <f t="shared" si="19"/>
        <v>0</v>
      </c>
      <c r="P16" s="397">
        <f t="shared" si="19"/>
        <v>0</v>
      </c>
      <c r="Q16" s="397">
        <f t="shared" si="19"/>
        <v>2100000</v>
      </c>
      <c r="R16" s="397">
        <f t="shared" si="19"/>
        <v>0</v>
      </c>
      <c r="S16" s="397">
        <f t="shared" si="19"/>
        <v>0</v>
      </c>
      <c r="T16" s="397">
        <f t="shared" si="19"/>
        <v>600000</v>
      </c>
    </row>
    <row r="17" spans="1:22" ht="13.5" customHeight="1">
      <c r="A17" s="82"/>
      <c r="B17" s="83" t="s">
        <v>41</v>
      </c>
      <c r="C17" s="325" t="s">
        <v>46</v>
      </c>
      <c r="D17" s="83"/>
      <c r="E17" s="397">
        <v>0</v>
      </c>
      <c r="F17" s="397">
        <v>0</v>
      </c>
      <c r="G17" s="397">
        <v>0</v>
      </c>
      <c r="H17" s="397">
        <v>0</v>
      </c>
      <c r="I17" s="397">
        <v>0</v>
      </c>
      <c r="J17" s="397">
        <v>0</v>
      </c>
      <c r="K17" s="397">
        <v>0</v>
      </c>
      <c r="L17" s="397">
        <v>0</v>
      </c>
      <c r="M17" s="397">
        <v>0</v>
      </c>
      <c r="N17" s="397">
        <v>0</v>
      </c>
      <c r="O17" s="397">
        <v>0</v>
      </c>
      <c r="P17" s="397">
        <v>0</v>
      </c>
      <c r="Q17" s="397">
        <v>0</v>
      </c>
      <c r="R17" s="397">
        <v>0</v>
      </c>
      <c r="S17" s="397">
        <v>0</v>
      </c>
      <c r="T17" s="397">
        <v>0</v>
      </c>
    </row>
    <row r="18" spans="1:22" ht="12.75" customHeight="1">
      <c r="A18" s="82"/>
      <c r="B18" s="83" t="s">
        <v>333</v>
      </c>
      <c r="C18" s="325" t="s">
        <v>46</v>
      </c>
      <c r="D18" s="83"/>
      <c r="E18" s="397">
        <v>0</v>
      </c>
      <c r="F18" s="397">
        <v>0</v>
      </c>
      <c r="G18" s="397">
        <v>0</v>
      </c>
      <c r="H18" s="397">
        <v>0</v>
      </c>
      <c r="I18" s="397">
        <v>0</v>
      </c>
      <c r="J18" s="397">
        <v>150000</v>
      </c>
      <c r="K18" s="397">
        <v>0</v>
      </c>
      <c r="L18" s="397">
        <v>0</v>
      </c>
      <c r="M18" s="397">
        <v>0</v>
      </c>
      <c r="N18" s="397">
        <v>0</v>
      </c>
      <c r="O18" s="397">
        <v>0</v>
      </c>
      <c r="P18" s="397">
        <v>0</v>
      </c>
      <c r="Q18" s="397">
        <v>150000</v>
      </c>
      <c r="R18" s="397">
        <v>0</v>
      </c>
      <c r="S18" s="397">
        <v>0</v>
      </c>
      <c r="T18" s="397">
        <v>0</v>
      </c>
    </row>
    <row r="19" spans="1:22" ht="12.75" customHeight="1">
      <c r="A19" s="82"/>
      <c r="B19" s="83" t="s">
        <v>354</v>
      </c>
      <c r="C19" s="325" t="s">
        <v>46</v>
      </c>
      <c r="D19" s="307"/>
      <c r="E19" s="397"/>
      <c r="F19" s="398"/>
      <c r="G19" s="398"/>
      <c r="H19" s="398"/>
      <c r="I19" s="398"/>
      <c r="J19" s="398"/>
      <c r="K19" s="398"/>
      <c r="L19" s="398"/>
      <c r="M19" s="398"/>
      <c r="N19" s="398"/>
      <c r="O19" s="398"/>
      <c r="P19" s="398"/>
      <c r="Q19" s="398"/>
      <c r="R19" s="398"/>
      <c r="S19" s="398"/>
      <c r="T19" s="398"/>
    </row>
    <row r="20" spans="1:22">
      <c r="A20" s="82"/>
      <c r="B20" s="83" t="s">
        <v>335</v>
      </c>
      <c r="C20" s="325" t="s">
        <v>47</v>
      </c>
      <c r="D20" s="83"/>
      <c r="E20" s="399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</row>
    <row r="21" spans="1:22">
      <c r="A21" s="82"/>
      <c r="B21" s="83" t="s">
        <v>336</v>
      </c>
      <c r="C21" s="325" t="s">
        <v>47</v>
      </c>
      <c r="D21" s="83"/>
      <c r="E21" s="399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</row>
    <row r="22" spans="1:22">
      <c r="A22" s="82"/>
      <c r="B22" s="83" t="s">
        <v>413</v>
      </c>
      <c r="C22" s="26">
        <v>8</v>
      </c>
      <c r="D22" s="83" t="s">
        <v>58</v>
      </c>
      <c r="E22" s="396"/>
      <c r="F22" s="396"/>
      <c r="G22" s="396"/>
      <c r="H22" s="396"/>
      <c r="I22" s="396"/>
      <c r="J22" s="396"/>
      <c r="Q22" s="9"/>
    </row>
    <row r="23" spans="1:22">
      <c r="A23" s="82"/>
      <c r="B23" s="83" t="s">
        <v>227</v>
      </c>
      <c r="C23" s="83">
        <v>15</v>
      </c>
      <c r="D23" s="83" t="s">
        <v>58</v>
      </c>
      <c r="E23" s="240"/>
      <c r="F23" s="240"/>
      <c r="G23" s="240"/>
      <c r="H23" s="240"/>
      <c r="I23" s="240"/>
      <c r="J23" s="240"/>
      <c r="Q23" s="9"/>
    </row>
    <row r="24" spans="1:22">
      <c r="C24" s="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395"/>
      <c r="U24" s="395"/>
      <c r="V24" s="395"/>
    </row>
    <row r="25" spans="1:22">
      <c r="A25" s="227" t="s">
        <v>307</v>
      </c>
      <c r="B25" s="306" t="s">
        <v>373</v>
      </c>
      <c r="C25" s="228" t="s">
        <v>332</v>
      </c>
      <c r="D25" s="81">
        <f>D1</f>
        <v>2024</v>
      </c>
      <c r="E25" s="81">
        <f>D25+1</f>
        <v>2025</v>
      </c>
      <c r="F25" s="81">
        <f>E25+1</f>
        <v>2026</v>
      </c>
      <c r="G25" s="81">
        <f t="shared" ref="G25:S25" si="20">F25+1</f>
        <v>2027</v>
      </c>
      <c r="H25" s="81">
        <f t="shared" si="20"/>
        <v>2028</v>
      </c>
      <c r="I25" s="81">
        <f t="shared" si="20"/>
        <v>2029</v>
      </c>
      <c r="J25" s="81">
        <f t="shared" si="20"/>
        <v>2030</v>
      </c>
      <c r="K25" s="81">
        <f t="shared" si="20"/>
        <v>2031</v>
      </c>
      <c r="L25" s="81">
        <f t="shared" si="20"/>
        <v>2032</v>
      </c>
      <c r="M25" s="81">
        <f t="shared" si="20"/>
        <v>2033</v>
      </c>
      <c r="N25" s="81">
        <f t="shared" si="20"/>
        <v>2034</v>
      </c>
      <c r="O25" s="81">
        <f t="shared" si="20"/>
        <v>2035</v>
      </c>
      <c r="P25" s="81">
        <f t="shared" si="20"/>
        <v>2036</v>
      </c>
      <c r="Q25" s="81">
        <f t="shared" si="20"/>
        <v>2037</v>
      </c>
      <c r="R25" s="81">
        <f t="shared" si="20"/>
        <v>2038</v>
      </c>
      <c r="S25" s="81">
        <f t="shared" si="20"/>
        <v>2039</v>
      </c>
      <c r="T25" s="229"/>
      <c r="U25" s="229"/>
    </row>
    <row r="26" spans="1:22" s="386" customFormat="1">
      <c r="B26" s="227" t="s">
        <v>329</v>
      </c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</row>
    <row r="27" spans="1:22" s="386" customFormat="1">
      <c r="A27" s="387"/>
      <c r="B27" s="36" t="s">
        <v>470</v>
      </c>
      <c r="C27" s="388" t="s">
        <v>462</v>
      </c>
      <c r="D27" s="389">
        <v>0</v>
      </c>
      <c r="E27" s="389">
        <v>0</v>
      </c>
      <c r="F27" s="389">
        <v>14</v>
      </c>
      <c r="G27" s="389">
        <v>0</v>
      </c>
      <c r="H27" s="389">
        <v>0</v>
      </c>
      <c r="I27" s="389">
        <v>0</v>
      </c>
      <c r="J27" s="389">
        <v>0</v>
      </c>
      <c r="K27" s="389">
        <v>0</v>
      </c>
      <c r="L27" s="389">
        <v>0</v>
      </c>
      <c r="M27" s="389">
        <v>0</v>
      </c>
      <c r="N27" s="389">
        <v>14</v>
      </c>
      <c r="O27" s="389">
        <v>0</v>
      </c>
      <c r="P27" s="389">
        <v>0</v>
      </c>
      <c r="Q27" s="389">
        <v>0</v>
      </c>
      <c r="R27" s="389">
        <v>0</v>
      </c>
      <c r="S27" s="389">
        <v>0</v>
      </c>
      <c r="T27" s="390"/>
      <c r="U27" s="390"/>
      <c r="V27" s="305"/>
    </row>
    <row r="28" spans="1:22" s="386" customFormat="1">
      <c r="A28" s="387"/>
      <c r="B28" s="36" t="s">
        <v>469</v>
      </c>
      <c r="C28" s="388" t="s">
        <v>462</v>
      </c>
      <c r="D28" s="389">
        <v>0</v>
      </c>
      <c r="E28" s="389">
        <v>0</v>
      </c>
      <c r="F28" s="389">
        <v>0</v>
      </c>
      <c r="G28" s="389">
        <v>0</v>
      </c>
      <c r="H28" s="389">
        <v>0</v>
      </c>
      <c r="I28" s="389">
        <v>2</v>
      </c>
      <c r="J28" s="389">
        <v>0</v>
      </c>
      <c r="K28" s="389">
        <v>0</v>
      </c>
      <c r="L28" s="389">
        <v>0</v>
      </c>
      <c r="M28" s="389">
        <v>0</v>
      </c>
      <c r="N28" s="389">
        <v>2</v>
      </c>
      <c r="O28" s="389">
        <v>0</v>
      </c>
      <c r="P28" s="389">
        <v>0</v>
      </c>
      <c r="Q28" s="389">
        <v>0</v>
      </c>
      <c r="R28" s="389">
        <v>0</v>
      </c>
      <c r="S28" s="389">
        <v>0</v>
      </c>
      <c r="T28" s="390"/>
      <c r="U28" s="390"/>
      <c r="V28" s="305"/>
    </row>
    <row r="29" spans="1:22" s="386" customFormat="1">
      <c r="A29" s="387"/>
      <c r="B29" s="465" t="s">
        <v>423</v>
      </c>
      <c r="C29" s="388" t="s">
        <v>422</v>
      </c>
      <c r="D29" s="389">
        <v>0</v>
      </c>
      <c r="E29" s="389">
        <v>0</v>
      </c>
      <c r="F29" s="389">
        <v>3</v>
      </c>
      <c r="G29" s="389">
        <v>0</v>
      </c>
      <c r="H29" s="389">
        <v>0</v>
      </c>
      <c r="I29" s="389">
        <v>0</v>
      </c>
      <c r="J29" s="389">
        <v>0</v>
      </c>
      <c r="K29" s="389">
        <v>0</v>
      </c>
      <c r="L29" s="389">
        <v>0</v>
      </c>
      <c r="M29" s="389">
        <v>0</v>
      </c>
      <c r="N29" s="389">
        <v>0</v>
      </c>
      <c r="O29" s="389">
        <v>0</v>
      </c>
      <c r="P29" s="389">
        <v>0</v>
      </c>
      <c r="Q29" s="389">
        <v>0</v>
      </c>
      <c r="R29" s="389">
        <v>3</v>
      </c>
      <c r="S29" s="389">
        <v>0</v>
      </c>
      <c r="T29" s="390"/>
      <c r="U29" s="390"/>
      <c r="V29" s="305"/>
    </row>
    <row r="30" spans="1:22" s="386" customFormat="1">
      <c r="A30" s="387"/>
      <c r="B30" s="36" t="s">
        <v>471</v>
      </c>
      <c r="C30" s="388" t="s">
        <v>463</v>
      </c>
      <c r="D30" s="389">
        <v>0</v>
      </c>
      <c r="E30" s="389">
        <v>0</v>
      </c>
      <c r="F30" s="389">
        <v>0</v>
      </c>
      <c r="G30" s="389">
        <v>0</v>
      </c>
      <c r="H30" s="389">
        <v>0</v>
      </c>
      <c r="I30" s="389">
        <v>0</v>
      </c>
      <c r="J30" s="389">
        <v>0</v>
      </c>
      <c r="K30" s="389">
        <v>0</v>
      </c>
      <c r="L30" s="389">
        <v>0</v>
      </c>
      <c r="M30" s="389">
        <v>0</v>
      </c>
      <c r="N30" s="389">
        <v>0</v>
      </c>
      <c r="O30" s="389">
        <v>0</v>
      </c>
      <c r="P30" s="389">
        <v>2</v>
      </c>
      <c r="Q30" s="389">
        <v>0</v>
      </c>
      <c r="R30" s="389">
        <v>0</v>
      </c>
      <c r="S30" s="389">
        <v>0</v>
      </c>
      <c r="T30" s="390"/>
      <c r="U30" s="390"/>
      <c r="V30" s="305"/>
    </row>
    <row r="31" spans="1:22" s="386" customFormat="1">
      <c r="B31" s="391" t="s">
        <v>312</v>
      </c>
      <c r="C31" s="392" t="s">
        <v>2</v>
      </c>
      <c r="D31" s="392">
        <f>D27+D29+D30</f>
        <v>0</v>
      </c>
      <c r="E31" s="392">
        <f t="shared" ref="E31:S31" si="21">E27+E29+E30</f>
        <v>0</v>
      </c>
      <c r="F31" s="392">
        <f t="shared" si="21"/>
        <v>17</v>
      </c>
      <c r="G31" s="392">
        <f t="shared" si="21"/>
        <v>0</v>
      </c>
      <c r="H31" s="392">
        <f t="shared" si="21"/>
        <v>0</v>
      </c>
      <c r="I31" s="392">
        <f t="shared" si="21"/>
        <v>0</v>
      </c>
      <c r="J31" s="392">
        <f t="shared" si="21"/>
        <v>0</v>
      </c>
      <c r="K31" s="392">
        <f t="shared" si="21"/>
        <v>0</v>
      </c>
      <c r="L31" s="392">
        <f t="shared" si="21"/>
        <v>0</v>
      </c>
      <c r="M31" s="392">
        <f t="shared" si="21"/>
        <v>0</v>
      </c>
      <c r="N31" s="392">
        <f t="shared" si="21"/>
        <v>14</v>
      </c>
      <c r="O31" s="392">
        <f t="shared" si="21"/>
        <v>0</v>
      </c>
      <c r="P31" s="392">
        <f t="shared" si="21"/>
        <v>2</v>
      </c>
      <c r="Q31" s="392">
        <f t="shared" si="21"/>
        <v>0</v>
      </c>
      <c r="R31" s="392">
        <f t="shared" si="21"/>
        <v>3</v>
      </c>
      <c r="S31" s="392">
        <f t="shared" si="21"/>
        <v>0</v>
      </c>
      <c r="T31" s="304"/>
      <c r="U31" s="304"/>
    </row>
    <row r="32" spans="1:22" s="386" customFormat="1"/>
    <row r="33" spans="1:22">
      <c r="A33" s="227" t="s">
        <v>307</v>
      </c>
      <c r="B33" s="306" t="s">
        <v>373</v>
      </c>
      <c r="C33" s="228" t="s">
        <v>332</v>
      </c>
      <c r="D33" s="81" t="s">
        <v>331</v>
      </c>
      <c r="E33" s="81">
        <f t="shared" ref="E33:T33" si="22">D25</f>
        <v>2024</v>
      </c>
      <c r="F33" s="81">
        <f t="shared" si="22"/>
        <v>2025</v>
      </c>
      <c r="G33" s="81">
        <f t="shared" si="22"/>
        <v>2026</v>
      </c>
      <c r="H33" s="81">
        <f t="shared" si="22"/>
        <v>2027</v>
      </c>
      <c r="I33" s="81">
        <f t="shared" si="22"/>
        <v>2028</v>
      </c>
      <c r="J33" s="81">
        <f t="shared" si="22"/>
        <v>2029</v>
      </c>
      <c r="K33" s="81">
        <f t="shared" si="22"/>
        <v>2030</v>
      </c>
      <c r="L33" s="81">
        <f t="shared" si="22"/>
        <v>2031</v>
      </c>
      <c r="M33" s="81">
        <f t="shared" si="22"/>
        <v>2032</v>
      </c>
      <c r="N33" s="81">
        <f t="shared" si="22"/>
        <v>2033</v>
      </c>
      <c r="O33" s="81">
        <f t="shared" si="22"/>
        <v>2034</v>
      </c>
      <c r="P33" s="81">
        <f t="shared" si="22"/>
        <v>2035</v>
      </c>
      <c r="Q33" s="81">
        <f t="shared" si="22"/>
        <v>2036</v>
      </c>
      <c r="R33" s="81">
        <f t="shared" si="22"/>
        <v>2037</v>
      </c>
      <c r="S33" s="81">
        <f t="shared" si="22"/>
        <v>2038</v>
      </c>
      <c r="T33" s="81">
        <f t="shared" si="22"/>
        <v>2039</v>
      </c>
    </row>
    <row r="34" spans="1:22" s="386" customFormat="1">
      <c r="A34" s="393"/>
      <c r="B34" s="227" t="s">
        <v>330</v>
      </c>
      <c r="C34" s="304"/>
      <c r="D34" s="305"/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3"/>
      <c r="P34" s="394"/>
      <c r="Q34" s="394"/>
      <c r="R34" s="393"/>
      <c r="S34" s="393"/>
      <c r="T34" s="393"/>
      <c r="U34" s="393"/>
      <c r="V34" s="393"/>
    </row>
    <row r="35" spans="1:22" s="386" customFormat="1">
      <c r="A35" s="387"/>
      <c r="B35" s="36" t="s">
        <v>470</v>
      </c>
      <c r="C35" s="388" t="s">
        <v>462</v>
      </c>
      <c r="D35" s="307">
        <f>Założenia!E178</f>
        <v>530000</v>
      </c>
      <c r="E35" s="303">
        <f>$D35*D27</f>
        <v>0</v>
      </c>
      <c r="F35" s="303">
        <f t="shared" ref="F35:T35" si="23">$D35*E27</f>
        <v>0</v>
      </c>
      <c r="G35" s="303">
        <f t="shared" si="23"/>
        <v>7420000</v>
      </c>
      <c r="H35" s="303">
        <f t="shared" si="23"/>
        <v>0</v>
      </c>
      <c r="I35" s="303">
        <f t="shared" si="23"/>
        <v>0</v>
      </c>
      <c r="J35" s="303">
        <f t="shared" si="23"/>
        <v>0</v>
      </c>
      <c r="K35" s="303">
        <f t="shared" si="23"/>
        <v>0</v>
      </c>
      <c r="L35" s="303">
        <f t="shared" si="23"/>
        <v>0</v>
      </c>
      <c r="M35" s="303">
        <f t="shared" si="23"/>
        <v>0</v>
      </c>
      <c r="N35" s="303">
        <f t="shared" si="23"/>
        <v>0</v>
      </c>
      <c r="O35" s="303">
        <f t="shared" si="23"/>
        <v>7420000</v>
      </c>
      <c r="P35" s="303">
        <f t="shared" si="23"/>
        <v>0</v>
      </c>
      <c r="Q35" s="303">
        <f t="shared" si="23"/>
        <v>0</v>
      </c>
      <c r="R35" s="303">
        <f t="shared" si="23"/>
        <v>0</v>
      </c>
      <c r="S35" s="303">
        <f t="shared" si="23"/>
        <v>0</v>
      </c>
      <c r="T35" s="303">
        <f t="shared" si="23"/>
        <v>0</v>
      </c>
      <c r="U35" s="309"/>
      <c r="V35" s="309"/>
    </row>
    <row r="36" spans="1:22" s="386" customFormat="1">
      <c r="A36" s="387"/>
      <c r="B36" s="36" t="s">
        <v>469</v>
      </c>
      <c r="C36" s="388" t="s">
        <v>462</v>
      </c>
      <c r="D36" s="307">
        <f>Założenia!E177</f>
        <v>300000</v>
      </c>
      <c r="E36" s="303">
        <f>$D36*D28</f>
        <v>0</v>
      </c>
      <c r="F36" s="303">
        <f t="shared" ref="F36:T36" si="24">$D36*E28</f>
        <v>0</v>
      </c>
      <c r="G36" s="303">
        <f t="shared" si="24"/>
        <v>0</v>
      </c>
      <c r="H36" s="303">
        <f t="shared" si="24"/>
        <v>0</v>
      </c>
      <c r="I36" s="303">
        <f t="shared" si="24"/>
        <v>0</v>
      </c>
      <c r="J36" s="303">
        <f t="shared" si="24"/>
        <v>600000</v>
      </c>
      <c r="K36" s="303">
        <f t="shared" si="24"/>
        <v>0</v>
      </c>
      <c r="L36" s="303">
        <f t="shared" si="24"/>
        <v>0</v>
      </c>
      <c r="M36" s="303">
        <f t="shared" si="24"/>
        <v>0</v>
      </c>
      <c r="N36" s="303">
        <f t="shared" si="24"/>
        <v>0</v>
      </c>
      <c r="O36" s="303">
        <f t="shared" si="24"/>
        <v>600000</v>
      </c>
      <c r="P36" s="303">
        <f t="shared" si="24"/>
        <v>0</v>
      </c>
      <c r="Q36" s="303">
        <f t="shared" si="24"/>
        <v>0</v>
      </c>
      <c r="R36" s="303">
        <f t="shared" si="24"/>
        <v>0</v>
      </c>
      <c r="S36" s="303">
        <f t="shared" si="24"/>
        <v>0</v>
      </c>
      <c r="T36" s="303">
        <f t="shared" si="24"/>
        <v>0</v>
      </c>
      <c r="U36" s="309"/>
      <c r="V36" s="309"/>
    </row>
    <row r="37" spans="1:22" s="386" customFormat="1">
      <c r="A37" s="387"/>
      <c r="B37" s="465" t="s">
        <v>423</v>
      </c>
      <c r="C37" s="388" t="s">
        <v>422</v>
      </c>
      <c r="D37" s="307">
        <f>Założenia!E180</f>
        <v>1380000</v>
      </c>
      <c r="E37" s="303">
        <f>$D37*D29</f>
        <v>0</v>
      </c>
      <c r="F37" s="303">
        <f t="shared" ref="F37:T37" si="25">$D37*E29</f>
        <v>0</v>
      </c>
      <c r="G37" s="303">
        <f t="shared" si="25"/>
        <v>4140000</v>
      </c>
      <c r="H37" s="303">
        <f t="shared" si="25"/>
        <v>0</v>
      </c>
      <c r="I37" s="303">
        <f t="shared" si="25"/>
        <v>0</v>
      </c>
      <c r="J37" s="303">
        <f t="shared" si="25"/>
        <v>0</v>
      </c>
      <c r="K37" s="303">
        <f t="shared" si="25"/>
        <v>0</v>
      </c>
      <c r="L37" s="303">
        <f t="shared" si="25"/>
        <v>0</v>
      </c>
      <c r="M37" s="303">
        <f t="shared" si="25"/>
        <v>0</v>
      </c>
      <c r="N37" s="303">
        <f t="shared" si="25"/>
        <v>0</v>
      </c>
      <c r="O37" s="303">
        <f t="shared" si="25"/>
        <v>0</v>
      </c>
      <c r="P37" s="303">
        <f t="shared" si="25"/>
        <v>0</v>
      </c>
      <c r="Q37" s="303">
        <f t="shared" si="25"/>
        <v>0</v>
      </c>
      <c r="R37" s="303">
        <f t="shared" si="25"/>
        <v>0</v>
      </c>
      <c r="S37" s="303">
        <f t="shared" si="25"/>
        <v>4140000</v>
      </c>
      <c r="T37" s="303">
        <f t="shared" si="25"/>
        <v>0</v>
      </c>
      <c r="U37" s="309"/>
      <c r="V37" s="309"/>
    </row>
    <row r="38" spans="1:22" s="386" customFormat="1">
      <c r="A38" s="387"/>
      <c r="B38" s="36" t="s">
        <v>471</v>
      </c>
      <c r="C38" s="388" t="s">
        <v>463</v>
      </c>
      <c r="D38" s="307">
        <f>Założenia!E181</f>
        <v>2570000</v>
      </c>
      <c r="E38" s="303">
        <f>$D38*D30</f>
        <v>0</v>
      </c>
      <c r="F38" s="303">
        <f t="shared" ref="F38:T38" si="26">$D38*E30</f>
        <v>0</v>
      </c>
      <c r="G38" s="303">
        <f t="shared" si="26"/>
        <v>0</v>
      </c>
      <c r="H38" s="303">
        <f t="shared" si="26"/>
        <v>0</v>
      </c>
      <c r="I38" s="303">
        <f t="shared" si="26"/>
        <v>0</v>
      </c>
      <c r="J38" s="303">
        <f t="shared" si="26"/>
        <v>0</v>
      </c>
      <c r="K38" s="303">
        <f t="shared" si="26"/>
        <v>0</v>
      </c>
      <c r="L38" s="303">
        <f t="shared" si="26"/>
        <v>0</v>
      </c>
      <c r="M38" s="303">
        <f t="shared" si="26"/>
        <v>0</v>
      </c>
      <c r="N38" s="303">
        <f t="shared" si="26"/>
        <v>0</v>
      </c>
      <c r="O38" s="303">
        <f t="shared" si="26"/>
        <v>0</v>
      </c>
      <c r="P38" s="303">
        <f t="shared" si="26"/>
        <v>0</v>
      </c>
      <c r="Q38" s="303">
        <f t="shared" si="26"/>
        <v>5140000</v>
      </c>
      <c r="R38" s="303">
        <f t="shared" si="26"/>
        <v>0</v>
      </c>
      <c r="S38" s="303">
        <f t="shared" si="26"/>
        <v>0</v>
      </c>
      <c r="T38" s="303">
        <f t="shared" si="26"/>
        <v>0</v>
      </c>
      <c r="U38" s="309"/>
      <c r="V38" s="309"/>
    </row>
    <row r="39" spans="1:22" s="11" customFormat="1">
      <c r="B39" s="308" t="s">
        <v>312</v>
      </c>
      <c r="C39" s="310" t="s">
        <v>2</v>
      </c>
      <c r="D39" s="310" t="s">
        <v>2</v>
      </c>
      <c r="E39" s="33">
        <f>SUM(E35:E38)</f>
        <v>0</v>
      </c>
      <c r="F39" s="33">
        <f t="shared" ref="F39:T39" si="27">SUM(F35:F38)</f>
        <v>0</v>
      </c>
      <c r="G39" s="33">
        <f t="shared" si="27"/>
        <v>11560000</v>
      </c>
      <c r="H39" s="33">
        <f t="shared" si="27"/>
        <v>0</v>
      </c>
      <c r="I39" s="33">
        <f t="shared" si="27"/>
        <v>0</v>
      </c>
      <c r="J39" s="33">
        <f t="shared" si="27"/>
        <v>600000</v>
      </c>
      <c r="K39" s="33">
        <f t="shared" si="27"/>
        <v>0</v>
      </c>
      <c r="L39" s="33">
        <f t="shared" si="27"/>
        <v>0</v>
      </c>
      <c r="M39" s="33">
        <f t="shared" si="27"/>
        <v>0</v>
      </c>
      <c r="N39" s="33">
        <f t="shared" si="27"/>
        <v>0</v>
      </c>
      <c r="O39" s="33">
        <f t="shared" si="27"/>
        <v>8020000</v>
      </c>
      <c r="P39" s="33">
        <f t="shared" si="27"/>
        <v>0</v>
      </c>
      <c r="Q39" s="33">
        <f t="shared" si="27"/>
        <v>5140000</v>
      </c>
      <c r="R39" s="33">
        <f t="shared" si="27"/>
        <v>0</v>
      </c>
      <c r="S39" s="33">
        <f t="shared" si="27"/>
        <v>4140000</v>
      </c>
      <c r="T39" s="33">
        <f t="shared" si="27"/>
        <v>0</v>
      </c>
      <c r="U39" s="88"/>
      <c r="V39" s="88"/>
    </row>
    <row r="40" spans="1:22">
      <c r="C40" s="6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395"/>
      <c r="V40" s="395"/>
    </row>
    <row r="41" spans="1:22">
      <c r="A41" s="227" t="s">
        <v>307</v>
      </c>
      <c r="B41" s="306" t="s">
        <v>373</v>
      </c>
      <c r="C41" s="81"/>
      <c r="D41" s="81"/>
      <c r="E41" s="81">
        <f>E33</f>
        <v>2024</v>
      </c>
      <c r="F41" s="81">
        <f>E41+1</f>
        <v>2025</v>
      </c>
      <c r="G41" s="81">
        <f t="shared" ref="G41:T41" si="28">F41+1</f>
        <v>2026</v>
      </c>
      <c r="H41" s="81">
        <f t="shared" si="28"/>
        <v>2027</v>
      </c>
      <c r="I41" s="81">
        <f t="shared" si="28"/>
        <v>2028</v>
      </c>
      <c r="J41" s="81">
        <f t="shared" si="28"/>
        <v>2029</v>
      </c>
      <c r="K41" s="81">
        <f t="shared" si="28"/>
        <v>2030</v>
      </c>
      <c r="L41" s="81">
        <f t="shared" si="28"/>
        <v>2031</v>
      </c>
      <c r="M41" s="81">
        <f t="shared" si="28"/>
        <v>2032</v>
      </c>
      <c r="N41" s="81">
        <f t="shared" si="28"/>
        <v>2033</v>
      </c>
      <c r="O41" s="81">
        <f t="shared" si="28"/>
        <v>2034</v>
      </c>
      <c r="P41" s="81">
        <f t="shared" si="28"/>
        <v>2035</v>
      </c>
      <c r="Q41" s="81">
        <f t="shared" si="28"/>
        <v>2036</v>
      </c>
      <c r="R41" s="81">
        <f t="shared" si="28"/>
        <v>2037</v>
      </c>
      <c r="S41" s="81">
        <f t="shared" si="28"/>
        <v>2038</v>
      </c>
      <c r="T41" s="81">
        <f t="shared" si="28"/>
        <v>2039</v>
      </c>
    </row>
    <row r="42" spans="1:22">
      <c r="E42" s="86"/>
    </row>
    <row r="43" spans="1:22">
      <c r="A43" s="82"/>
      <c r="B43" s="323" t="s">
        <v>32</v>
      </c>
      <c r="C43" s="83"/>
      <c r="D43" s="83"/>
      <c r="E43" s="396"/>
      <c r="F43" s="396"/>
      <c r="G43" s="396"/>
      <c r="H43" s="396"/>
      <c r="I43" s="396"/>
      <c r="J43" s="396"/>
    </row>
    <row r="44" spans="1:22">
      <c r="A44" s="82"/>
      <c r="B44" s="83" t="s">
        <v>328</v>
      </c>
      <c r="C44" s="325" t="s">
        <v>46</v>
      </c>
      <c r="D44" s="83"/>
      <c r="E44" s="397">
        <f>E39</f>
        <v>0</v>
      </c>
      <c r="F44" s="397">
        <f>F39</f>
        <v>0</v>
      </c>
      <c r="G44" s="397">
        <f t="shared" ref="G44:T44" si="29">G39</f>
        <v>11560000</v>
      </c>
      <c r="H44" s="397">
        <f t="shared" si="29"/>
        <v>0</v>
      </c>
      <c r="I44" s="397">
        <f t="shared" si="29"/>
        <v>0</v>
      </c>
      <c r="J44" s="397">
        <f t="shared" si="29"/>
        <v>600000</v>
      </c>
      <c r="K44" s="397">
        <f t="shared" si="29"/>
        <v>0</v>
      </c>
      <c r="L44" s="397">
        <f t="shared" si="29"/>
        <v>0</v>
      </c>
      <c r="M44" s="397">
        <f t="shared" si="29"/>
        <v>0</v>
      </c>
      <c r="N44" s="397">
        <f t="shared" si="29"/>
        <v>0</v>
      </c>
      <c r="O44" s="397">
        <f t="shared" si="29"/>
        <v>8020000</v>
      </c>
      <c r="P44" s="397">
        <f t="shared" si="29"/>
        <v>0</v>
      </c>
      <c r="Q44" s="397">
        <f t="shared" si="29"/>
        <v>5140000</v>
      </c>
      <c r="R44" s="397">
        <f t="shared" si="29"/>
        <v>0</v>
      </c>
      <c r="S44" s="397">
        <f t="shared" si="29"/>
        <v>4140000</v>
      </c>
      <c r="T44" s="397">
        <f t="shared" si="29"/>
        <v>0</v>
      </c>
    </row>
    <row r="45" spans="1:22" ht="13.5" customHeight="1">
      <c r="A45" s="82"/>
      <c r="B45" s="83" t="s">
        <v>41</v>
      </c>
      <c r="C45" s="325" t="s">
        <v>46</v>
      </c>
      <c r="D45" s="83"/>
      <c r="E45" s="397">
        <v>0</v>
      </c>
      <c r="F45" s="397">
        <v>0</v>
      </c>
      <c r="G45" s="397">
        <v>0</v>
      </c>
      <c r="H45" s="397">
        <v>0</v>
      </c>
      <c r="I45" s="397">
        <v>0</v>
      </c>
      <c r="J45" s="397">
        <v>0</v>
      </c>
      <c r="K45" s="397">
        <v>0</v>
      </c>
      <c r="L45" s="397">
        <v>0</v>
      </c>
      <c r="M45" s="397">
        <v>0</v>
      </c>
      <c r="N45" s="397">
        <v>0</v>
      </c>
      <c r="O45" s="397">
        <v>0</v>
      </c>
      <c r="P45" s="397">
        <v>0</v>
      </c>
      <c r="Q45" s="397">
        <v>0</v>
      </c>
      <c r="R45" s="397">
        <v>0</v>
      </c>
      <c r="S45" s="397">
        <v>0</v>
      </c>
      <c r="T45" s="397">
        <v>0</v>
      </c>
    </row>
    <row r="46" spans="1:22">
      <c r="A46" s="82"/>
      <c r="B46" s="83" t="s">
        <v>333</v>
      </c>
      <c r="C46" s="325" t="s">
        <v>46</v>
      </c>
      <c r="D46" s="83"/>
      <c r="E46" s="397">
        <v>0</v>
      </c>
      <c r="F46" s="397">
        <v>0</v>
      </c>
      <c r="G46" s="397">
        <v>0</v>
      </c>
      <c r="H46" s="397">
        <v>0</v>
      </c>
      <c r="I46" s="397">
        <v>0</v>
      </c>
      <c r="J46" s="397">
        <v>300000</v>
      </c>
      <c r="K46" s="397">
        <v>0</v>
      </c>
      <c r="L46" s="397">
        <v>0</v>
      </c>
      <c r="M46" s="397">
        <v>0</v>
      </c>
      <c r="N46" s="397">
        <v>0</v>
      </c>
      <c r="O46" s="397">
        <v>0</v>
      </c>
      <c r="P46" s="397">
        <v>0</v>
      </c>
      <c r="Q46" s="397">
        <v>0</v>
      </c>
      <c r="R46" s="397">
        <v>0</v>
      </c>
      <c r="S46" s="397">
        <v>0</v>
      </c>
      <c r="T46" s="397">
        <v>0</v>
      </c>
    </row>
    <row r="47" spans="1:22" ht="12.75" customHeight="1">
      <c r="A47" s="82"/>
      <c r="B47" s="83" t="s">
        <v>354</v>
      </c>
      <c r="C47" s="325" t="s">
        <v>46</v>
      </c>
      <c r="D47" s="307"/>
      <c r="E47" s="397"/>
      <c r="F47" s="398"/>
      <c r="G47" s="398"/>
      <c r="H47" s="398"/>
      <c r="I47" s="398"/>
      <c r="J47" s="398"/>
      <c r="K47" s="398"/>
      <c r="L47" s="398"/>
      <c r="M47" s="398"/>
      <c r="N47" s="398"/>
      <c r="O47" s="398"/>
      <c r="P47" s="398"/>
      <c r="Q47" s="398"/>
      <c r="R47" s="398"/>
      <c r="S47" s="398"/>
      <c r="T47" s="398"/>
    </row>
    <row r="48" spans="1:22">
      <c r="A48" s="82"/>
      <c r="B48" s="83" t="s">
        <v>335</v>
      </c>
      <c r="C48" s="325" t="s">
        <v>47</v>
      </c>
      <c r="D48" s="83"/>
      <c r="E48" s="397"/>
      <c r="F48" s="398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</row>
    <row r="49" spans="1:22">
      <c r="A49" s="82"/>
      <c r="B49" s="83" t="s">
        <v>336</v>
      </c>
      <c r="C49" s="325" t="s">
        <v>47</v>
      </c>
      <c r="D49" s="83"/>
      <c r="E49" s="399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</row>
    <row r="50" spans="1:22">
      <c r="A50" s="82"/>
      <c r="B50" s="83" t="s">
        <v>413</v>
      </c>
      <c r="C50" s="26">
        <v>8</v>
      </c>
      <c r="D50" s="83" t="s">
        <v>58</v>
      </c>
      <c r="E50" s="396"/>
    </row>
    <row r="51" spans="1:22">
      <c r="A51" s="82"/>
      <c r="B51" s="83" t="s">
        <v>412</v>
      </c>
      <c r="C51" s="26">
        <v>15</v>
      </c>
      <c r="D51" s="83" t="s">
        <v>58</v>
      </c>
      <c r="E51" s="396"/>
      <c r="F51" s="396"/>
      <c r="G51" s="396"/>
      <c r="H51" s="396"/>
      <c r="I51" s="396"/>
      <c r="J51" s="396"/>
      <c r="Q51" s="9"/>
    </row>
    <row r="52" spans="1:22">
      <c r="A52" s="82"/>
      <c r="B52" s="83" t="s">
        <v>227</v>
      </c>
      <c r="C52" s="83">
        <v>15</v>
      </c>
      <c r="D52" s="83" t="s">
        <v>58</v>
      </c>
      <c r="E52" s="240"/>
      <c r="F52" s="240"/>
      <c r="G52" s="240"/>
      <c r="H52" s="240"/>
      <c r="I52" s="240"/>
      <c r="J52" s="240"/>
      <c r="Q52" s="9"/>
    </row>
    <row r="54" spans="1:22">
      <c r="C54" s="9"/>
    </row>
    <row r="55" spans="1:22">
      <c r="A55" s="227" t="s">
        <v>308</v>
      </c>
      <c r="B55" s="306" t="s">
        <v>405</v>
      </c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</row>
    <row r="56" spans="1:22">
      <c r="E56" s="86"/>
    </row>
    <row r="57" spans="1:22">
      <c r="A57" s="227" t="s">
        <v>308</v>
      </c>
      <c r="B57" s="306" t="str">
        <f>B55</f>
        <v>Pojazdy z silnikiem elektrycznym</v>
      </c>
      <c r="C57" s="228" t="s">
        <v>332</v>
      </c>
      <c r="D57" s="81">
        <f>D25</f>
        <v>2024</v>
      </c>
      <c r="E57" s="81">
        <f>D57+1</f>
        <v>2025</v>
      </c>
      <c r="F57" s="81">
        <f>E57+1</f>
        <v>2026</v>
      </c>
      <c r="G57" s="81">
        <f t="shared" ref="G57:S57" si="30">F57+1</f>
        <v>2027</v>
      </c>
      <c r="H57" s="81">
        <f t="shared" si="30"/>
        <v>2028</v>
      </c>
      <c r="I57" s="81">
        <f t="shared" si="30"/>
        <v>2029</v>
      </c>
      <c r="J57" s="81">
        <f t="shared" si="30"/>
        <v>2030</v>
      </c>
      <c r="K57" s="81">
        <f t="shared" si="30"/>
        <v>2031</v>
      </c>
      <c r="L57" s="81">
        <f t="shared" si="30"/>
        <v>2032</v>
      </c>
      <c r="M57" s="81">
        <f t="shared" si="30"/>
        <v>2033</v>
      </c>
      <c r="N57" s="81">
        <f t="shared" si="30"/>
        <v>2034</v>
      </c>
      <c r="O57" s="81">
        <f t="shared" si="30"/>
        <v>2035</v>
      </c>
      <c r="P57" s="81">
        <f t="shared" si="30"/>
        <v>2036</v>
      </c>
      <c r="Q57" s="81">
        <f t="shared" si="30"/>
        <v>2037</v>
      </c>
      <c r="R57" s="81">
        <f t="shared" si="30"/>
        <v>2038</v>
      </c>
      <c r="S57" s="81">
        <f t="shared" si="30"/>
        <v>2039</v>
      </c>
      <c r="T57" s="229"/>
      <c r="U57" s="229"/>
    </row>
    <row r="58" spans="1:22" s="386" customFormat="1">
      <c r="B58" s="227" t="s">
        <v>329</v>
      </c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</row>
    <row r="59" spans="1:22" s="386" customFormat="1">
      <c r="A59" s="387"/>
      <c r="B59" s="36" t="s">
        <v>470</v>
      </c>
      <c r="C59" s="388" t="s">
        <v>462</v>
      </c>
      <c r="D59" s="389">
        <v>0</v>
      </c>
      <c r="E59" s="389">
        <v>0</v>
      </c>
      <c r="F59" s="389">
        <v>9</v>
      </c>
      <c r="G59" s="389">
        <v>0</v>
      </c>
      <c r="H59" s="389">
        <v>0</v>
      </c>
      <c r="I59" s="389">
        <v>0</v>
      </c>
      <c r="J59" s="389">
        <v>0</v>
      </c>
      <c r="K59" s="389">
        <v>0</v>
      </c>
      <c r="L59" s="389">
        <v>0</v>
      </c>
      <c r="M59" s="389">
        <v>0</v>
      </c>
      <c r="N59" s="389">
        <v>9</v>
      </c>
      <c r="O59" s="389">
        <v>0</v>
      </c>
      <c r="P59" s="389">
        <v>0</v>
      </c>
      <c r="Q59" s="389">
        <v>0</v>
      </c>
      <c r="R59" s="389">
        <v>0</v>
      </c>
      <c r="S59" s="389">
        <v>0</v>
      </c>
      <c r="T59" s="390"/>
      <c r="U59" s="390"/>
      <c r="V59" s="305"/>
    </row>
    <row r="60" spans="1:22" s="386" customFormat="1">
      <c r="A60" s="387"/>
      <c r="B60" s="36" t="s">
        <v>469</v>
      </c>
      <c r="C60" s="388" t="s">
        <v>462</v>
      </c>
      <c r="D60" s="389">
        <v>0</v>
      </c>
      <c r="E60" s="389">
        <v>0</v>
      </c>
      <c r="F60" s="389">
        <v>0</v>
      </c>
      <c r="G60" s="389">
        <v>0</v>
      </c>
      <c r="H60" s="389">
        <v>0</v>
      </c>
      <c r="I60" s="389">
        <v>2</v>
      </c>
      <c r="J60" s="389">
        <v>0</v>
      </c>
      <c r="K60" s="389">
        <v>0</v>
      </c>
      <c r="L60" s="389">
        <v>0</v>
      </c>
      <c r="M60" s="389">
        <v>0</v>
      </c>
      <c r="N60" s="389">
        <v>2</v>
      </c>
      <c r="O60" s="389">
        <v>0</v>
      </c>
      <c r="P60" s="389">
        <v>0</v>
      </c>
      <c r="Q60" s="389">
        <v>0</v>
      </c>
      <c r="R60" s="389">
        <v>0</v>
      </c>
      <c r="S60" s="389">
        <v>0</v>
      </c>
      <c r="T60" s="390"/>
      <c r="U60" s="390"/>
      <c r="V60" s="305"/>
    </row>
    <row r="61" spans="1:22" s="386" customFormat="1">
      <c r="A61" s="387"/>
      <c r="B61" s="465" t="s">
        <v>423</v>
      </c>
      <c r="C61" s="388" t="s">
        <v>422</v>
      </c>
      <c r="D61" s="389">
        <v>0</v>
      </c>
      <c r="E61" s="389">
        <v>0</v>
      </c>
      <c r="F61" s="389">
        <v>3</v>
      </c>
      <c r="G61" s="389">
        <v>0</v>
      </c>
      <c r="H61" s="389">
        <v>0</v>
      </c>
      <c r="I61" s="389">
        <v>0</v>
      </c>
      <c r="J61" s="389">
        <v>0</v>
      </c>
      <c r="K61" s="389">
        <v>0</v>
      </c>
      <c r="L61" s="389">
        <v>0</v>
      </c>
      <c r="M61" s="389">
        <v>0</v>
      </c>
      <c r="N61" s="389">
        <v>0</v>
      </c>
      <c r="O61" s="389">
        <v>0</v>
      </c>
      <c r="P61" s="389">
        <v>0</v>
      </c>
      <c r="Q61" s="389">
        <v>0</v>
      </c>
      <c r="R61" s="389">
        <v>3</v>
      </c>
      <c r="S61" s="389">
        <v>0</v>
      </c>
      <c r="T61" s="390"/>
      <c r="U61" s="390"/>
      <c r="V61" s="305"/>
    </row>
    <row r="62" spans="1:22" s="386" customFormat="1">
      <c r="A62" s="387"/>
      <c r="B62" s="36" t="s">
        <v>471</v>
      </c>
      <c r="C62" s="388" t="s">
        <v>463</v>
      </c>
      <c r="D62" s="389">
        <v>0</v>
      </c>
      <c r="E62" s="389">
        <v>0</v>
      </c>
      <c r="F62" s="389">
        <v>5</v>
      </c>
      <c r="G62" s="389">
        <v>0</v>
      </c>
      <c r="H62" s="389">
        <v>0</v>
      </c>
      <c r="I62" s="389">
        <v>0</v>
      </c>
      <c r="J62" s="389">
        <v>0</v>
      </c>
      <c r="K62" s="389">
        <v>0</v>
      </c>
      <c r="L62" s="389">
        <v>0</v>
      </c>
      <c r="M62" s="389">
        <v>0</v>
      </c>
      <c r="N62" s="389">
        <v>0</v>
      </c>
      <c r="O62" s="389">
        <v>0</v>
      </c>
      <c r="P62" s="389">
        <v>2</v>
      </c>
      <c r="Q62" s="389">
        <v>0</v>
      </c>
      <c r="R62" s="389">
        <v>0</v>
      </c>
      <c r="S62" s="389">
        <v>0</v>
      </c>
      <c r="T62" s="390"/>
      <c r="U62" s="390"/>
      <c r="V62" s="305"/>
    </row>
    <row r="63" spans="1:22" s="386" customFormat="1">
      <c r="B63" s="391" t="s">
        <v>312</v>
      </c>
      <c r="C63" s="392" t="s">
        <v>2</v>
      </c>
      <c r="D63" s="392">
        <f>SUM(D59:D62)</f>
        <v>0</v>
      </c>
      <c r="E63" s="392">
        <f t="shared" ref="E63:S63" si="31">SUM(E59:E62)</f>
        <v>0</v>
      </c>
      <c r="F63" s="392">
        <f t="shared" si="31"/>
        <v>17</v>
      </c>
      <c r="G63" s="392">
        <f t="shared" si="31"/>
        <v>0</v>
      </c>
      <c r="H63" s="392">
        <f t="shared" si="31"/>
        <v>0</v>
      </c>
      <c r="I63" s="392">
        <f t="shared" si="31"/>
        <v>2</v>
      </c>
      <c r="J63" s="392">
        <f t="shared" si="31"/>
        <v>0</v>
      </c>
      <c r="K63" s="392">
        <f t="shared" si="31"/>
        <v>0</v>
      </c>
      <c r="L63" s="392">
        <f t="shared" si="31"/>
        <v>0</v>
      </c>
      <c r="M63" s="392">
        <f t="shared" si="31"/>
        <v>0</v>
      </c>
      <c r="N63" s="392">
        <f t="shared" si="31"/>
        <v>11</v>
      </c>
      <c r="O63" s="392">
        <f t="shared" si="31"/>
        <v>0</v>
      </c>
      <c r="P63" s="392">
        <f t="shared" si="31"/>
        <v>2</v>
      </c>
      <c r="Q63" s="392">
        <f t="shared" si="31"/>
        <v>0</v>
      </c>
      <c r="R63" s="392">
        <f t="shared" si="31"/>
        <v>3</v>
      </c>
      <c r="S63" s="392">
        <f t="shared" si="31"/>
        <v>0</v>
      </c>
      <c r="T63" s="304"/>
      <c r="U63" s="304"/>
    </row>
    <row r="64" spans="1:22" s="386" customFormat="1"/>
    <row r="65" spans="1:22">
      <c r="A65" s="227" t="s">
        <v>308</v>
      </c>
      <c r="B65" s="306" t="str">
        <f>B57</f>
        <v>Pojazdy z silnikiem elektrycznym</v>
      </c>
      <c r="C65" s="228" t="s">
        <v>332</v>
      </c>
      <c r="D65" s="81" t="s">
        <v>331</v>
      </c>
      <c r="E65" s="81">
        <f t="shared" ref="E65:T65" si="32">D57</f>
        <v>2024</v>
      </c>
      <c r="F65" s="81">
        <f t="shared" si="32"/>
        <v>2025</v>
      </c>
      <c r="G65" s="81">
        <f t="shared" si="32"/>
        <v>2026</v>
      </c>
      <c r="H65" s="81">
        <f t="shared" si="32"/>
        <v>2027</v>
      </c>
      <c r="I65" s="81">
        <f t="shared" si="32"/>
        <v>2028</v>
      </c>
      <c r="J65" s="81">
        <f t="shared" si="32"/>
        <v>2029</v>
      </c>
      <c r="K65" s="81">
        <f t="shared" si="32"/>
        <v>2030</v>
      </c>
      <c r="L65" s="81">
        <f t="shared" si="32"/>
        <v>2031</v>
      </c>
      <c r="M65" s="81">
        <f t="shared" si="32"/>
        <v>2032</v>
      </c>
      <c r="N65" s="81">
        <f t="shared" si="32"/>
        <v>2033</v>
      </c>
      <c r="O65" s="81">
        <f t="shared" si="32"/>
        <v>2034</v>
      </c>
      <c r="P65" s="81">
        <f t="shared" si="32"/>
        <v>2035</v>
      </c>
      <c r="Q65" s="81">
        <f t="shared" si="32"/>
        <v>2036</v>
      </c>
      <c r="R65" s="81">
        <f t="shared" si="32"/>
        <v>2037</v>
      </c>
      <c r="S65" s="81">
        <f t="shared" si="32"/>
        <v>2038</v>
      </c>
      <c r="T65" s="81">
        <f t="shared" si="32"/>
        <v>2039</v>
      </c>
    </row>
    <row r="66" spans="1:22" s="386" customFormat="1">
      <c r="A66" s="393"/>
      <c r="B66" s="227" t="s">
        <v>330</v>
      </c>
      <c r="C66" s="304"/>
      <c r="D66" s="305"/>
      <c r="E66" s="393"/>
      <c r="F66" s="393"/>
      <c r="G66" s="393"/>
      <c r="H66" s="393"/>
      <c r="I66" s="393"/>
      <c r="J66" s="393"/>
      <c r="K66" s="393"/>
      <c r="L66" s="393"/>
      <c r="M66" s="393"/>
      <c r="N66" s="393"/>
      <c r="O66" s="393"/>
      <c r="P66" s="394"/>
      <c r="Q66" s="394"/>
      <c r="R66" s="393"/>
      <c r="S66" s="393"/>
      <c r="T66" s="393"/>
      <c r="U66" s="393"/>
      <c r="V66" s="393"/>
    </row>
    <row r="67" spans="1:22" s="386" customFormat="1">
      <c r="A67" s="387"/>
      <c r="B67" s="36" t="s">
        <v>470</v>
      </c>
      <c r="C67" s="388" t="s">
        <v>462</v>
      </c>
      <c r="D67" s="307">
        <f>Założenia!E178</f>
        <v>530000</v>
      </c>
      <c r="E67" s="303">
        <f>$D67*D59</f>
        <v>0</v>
      </c>
      <c r="F67" s="303">
        <f t="shared" ref="F67:T67" si="33">$D67*E59</f>
        <v>0</v>
      </c>
      <c r="G67" s="303">
        <f t="shared" si="33"/>
        <v>4770000</v>
      </c>
      <c r="H67" s="303">
        <f t="shared" si="33"/>
        <v>0</v>
      </c>
      <c r="I67" s="303">
        <f t="shared" si="33"/>
        <v>0</v>
      </c>
      <c r="J67" s="303">
        <f t="shared" si="33"/>
        <v>0</v>
      </c>
      <c r="K67" s="303">
        <f t="shared" si="33"/>
        <v>0</v>
      </c>
      <c r="L67" s="303">
        <f t="shared" si="33"/>
        <v>0</v>
      </c>
      <c r="M67" s="303">
        <f t="shared" si="33"/>
        <v>0</v>
      </c>
      <c r="N67" s="303">
        <f t="shared" si="33"/>
        <v>0</v>
      </c>
      <c r="O67" s="303">
        <f t="shared" si="33"/>
        <v>4770000</v>
      </c>
      <c r="P67" s="303">
        <f t="shared" si="33"/>
        <v>0</v>
      </c>
      <c r="Q67" s="303">
        <f t="shared" si="33"/>
        <v>0</v>
      </c>
      <c r="R67" s="303">
        <f t="shared" si="33"/>
        <v>0</v>
      </c>
      <c r="S67" s="303">
        <f t="shared" si="33"/>
        <v>0</v>
      </c>
      <c r="T67" s="303">
        <f t="shared" si="33"/>
        <v>0</v>
      </c>
      <c r="U67" s="309"/>
      <c r="V67" s="309"/>
    </row>
    <row r="68" spans="1:22" s="386" customFormat="1">
      <c r="A68" s="387"/>
      <c r="B68" s="36" t="s">
        <v>469</v>
      </c>
      <c r="C68" s="388" t="s">
        <v>462</v>
      </c>
      <c r="D68" s="307">
        <f>Założenia!E177</f>
        <v>300000</v>
      </c>
      <c r="E68" s="303">
        <f>$D68*D60</f>
        <v>0</v>
      </c>
      <c r="F68" s="303">
        <f t="shared" ref="F68:T68" si="34">$D68*E60</f>
        <v>0</v>
      </c>
      <c r="G68" s="303">
        <f t="shared" si="34"/>
        <v>0</v>
      </c>
      <c r="H68" s="303">
        <f t="shared" si="34"/>
        <v>0</v>
      </c>
      <c r="I68" s="303">
        <f t="shared" si="34"/>
        <v>0</v>
      </c>
      <c r="J68" s="303">
        <f t="shared" si="34"/>
        <v>600000</v>
      </c>
      <c r="K68" s="303">
        <f t="shared" si="34"/>
        <v>0</v>
      </c>
      <c r="L68" s="303">
        <f t="shared" si="34"/>
        <v>0</v>
      </c>
      <c r="M68" s="303">
        <f t="shared" si="34"/>
        <v>0</v>
      </c>
      <c r="N68" s="303">
        <f t="shared" si="34"/>
        <v>0</v>
      </c>
      <c r="O68" s="303">
        <f t="shared" si="34"/>
        <v>600000</v>
      </c>
      <c r="P68" s="303">
        <f t="shared" si="34"/>
        <v>0</v>
      </c>
      <c r="Q68" s="303">
        <f t="shared" si="34"/>
        <v>0</v>
      </c>
      <c r="R68" s="303">
        <f t="shared" si="34"/>
        <v>0</v>
      </c>
      <c r="S68" s="303">
        <f t="shared" si="34"/>
        <v>0</v>
      </c>
      <c r="T68" s="303">
        <f t="shared" si="34"/>
        <v>0</v>
      </c>
      <c r="U68" s="309"/>
      <c r="V68" s="309"/>
    </row>
    <row r="69" spans="1:22" s="386" customFormat="1">
      <c r="A69" s="387"/>
      <c r="B69" s="465" t="s">
        <v>423</v>
      </c>
      <c r="C69" s="388" t="s">
        <v>422</v>
      </c>
      <c r="D69" s="307">
        <f>Założenia!E180</f>
        <v>1380000</v>
      </c>
      <c r="E69" s="303">
        <f>$D69*D61</f>
        <v>0</v>
      </c>
      <c r="F69" s="303">
        <f t="shared" ref="F69:T69" si="35">$D69*E61</f>
        <v>0</v>
      </c>
      <c r="G69" s="303">
        <f t="shared" si="35"/>
        <v>4140000</v>
      </c>
      <c r="H69" s="303">
        <f t="shared" si="35"/>
        <v>0</v>
      </c>
      <c r="I69" s="303">
        <f t="shared" si="35"/>
        <v>0</v>
      </c>
      <c r="J69" s="303">
        <f t="shared" si="35"/>
        <v>0</v>
      </c>
      <c r="K69" s="303">
        <f t="shared" si="35"/>
        <v>0</v>
      </c>
      <c r="L69" s="303">
        <f t="shared" si="35"/>
        <v>0</v>
      </c>
      <c r="M69" s="303">
        <f t="shared" si="35"/>
        <v>0</v>
      </c>
      <c r="N69" s="303">
        <f t="shared" si="35"/>
        <v>0</v>
      </c>
      <c r="O69" s="303">
        <f t="shared" si="35"/>
        <v>0</v>
      </c>
      <c r="P69" s="303">
        <f t="shared" si="35"/>
        <v>0</v>
      </c>
      <c r="Q69" s="303">
        <f t="shared" si="35"/>
        <v>0</v>
      </c>
      <c r="R69" s="303">
        <f t="shared" si="35"/>
        <v>0</v>
      </c>
      <c r="S69" s="303">
        <f t="shared" si="35"/>
        <v>4140000</v>
      </c>
      <c r="T69" s="303">
        <f t="shared" si="35"/>
        <v>0</v>
      </c>
      <c r="U69" s="309"/>
      <c r="V69" s="309"/>
    </row>
    <row r="70" spans="1:22" s="386" customFormat="1">
      <c r="A70" s="387"/>
      <c r="B70" s="36" t="s">
        <v>471</v>
      </c>
      <c r="C70" s="388" t="s">
        <v>463</v>
      </c>
      <c r="D70" s="307">
        <f>Założenia!E181</f>
        <v>2570000</v>
      </c>
      <c r="E70" s="303">
        <f>$D70*D62</f>
        <v>0</v>
      </c>
      <c r="F70" s="303">
        <f t="shared" ref="F70:T70" si="36">$D70*E62</f>
        <v>0</v>
      </c>
      <c r="G70" s="303">
        <f t="shared" si="36"/>
        <v>12850000</v>
      </c>
      <c r="H70" s="303">
        <f t="shared" si="36"/>
        <v>0</v>
      </c>
      <c r="I70" s="303">
        <f t="shared" si="36"/>
        <v>0</v>
      </c>
      <c r="J70" s="303">
        <f t="shared" si="36"/>
        <v>0</v>
      </c>
      <c r="K70" s="303">
        <f t="shared" si="36"/>
        <v>0</v>
      </c>
      <c r="L70" s="303">
        <f t="shared" si="36"/>
        <v>0</v>
      </c>
      <c r="M70" s="303">
        <f t="shared" si="36"/>
        <v>0</v>
      </c>
      <c r="N70" s="303">
        <f t="shared" si="36"/>
        <v>0</v>
      </c>
      <c r="O70" s="303">
        <f t="shared" si="36"/>
        <v>0</v>
      </c>
      <c r="P70" s="303">
        <f t="shared" si="36"/>
        <v>0</v>
      </c>
      <c r="Q70" s="303">
        <f t="shared" si="36"/>
        <v>5140000</v>
      </c>
      <c r="R70" s="303">
        <f t="shared" si="36"/>
        <v>0</v>
      </c>
      <c r="S70" s="303">
        <f t="shared" si="36"/>
        <v>0</v>
      </c>
      <c r="T70" s="303">
        <f t="shared" si="36"/>
        <v>0</v>
      </c>
      <c r="U70" s="309"/>
      <c r="V70" s="309"/>
    </row>
    <row r="71" spans="1:22" s="11" customFormat="1">
      <c r="B71" s="308" t="s">
        <v>312</v>
      </c>
      <c r="C71" s="310" t="s">
        <v>2</v>
      </c>
      <c r="D71" s="310" t="s">
        <v>2</v>
      </c>
      <c r="E71" s="33">
        <f>SUM(E67:E70)</f>
        <v>0</v>
      </c>
      <c r="F71" s="33">
        <f t="shared" ref="F71:T71" si="37">SUM(F67:F70)</f>
        <v>0</v>
      </c>
      <c r="G71" s="33">
        <f t="shared" si="37"/>
        <v>21760000</v>
      </c>
      <c r="H71" s="33">
        <f t="shared" si="37"/>
        <v>0</v>
      </c>
      <c r="I71" s="33">
        <f t="shared" si="37"/>
        <v>0</v>
      </c>
      <c r="J71" s="33">
        <f t="shared" si="37"/>
        <v>600000</v>
      </c>
      <c r="K71" s="33">
        <f t="shared" si="37"/>
        <v>0</v>
      </c>
      <c r="L71" s="33">
        <f t="shared" si="37"/>
        <v>0</v>
      </c>
      <c r="M71" s="33">
        <f t="shared" si="37"/>
        <v>0</v>
      </c>
      <c r="N71" s="33">
        <f t="shared" si="37"/>
        <v>0</v>
      </c>
      <c r="O71" s="33">
        <f t="shared" si="37"/>
        <v>5370000</v>
      </c>
      <c r="P71" s="33">
        <f t="shared" si="37"/>
        <v>0</v>
      </c>
      <c r="Q71" s="33">
        <f t="shared" si="37"/>
        <v>5140000</v>
      </c>
      <c r="R71" s="33">
        <f t="shared" si="37"/>
        <v>0</v>
      </c>
      <c r="S71" s="33">
        <f t="shared" si="37"/>
        <v>4140000</v>
      </c>
      <c r="T71" s="33">
        <f t="shared" si="37"/>
        <v>0</v>
      </c>
      <c r="U71" s="88"/>
      <c r="V71" s="88"/>
    </row>
    <row r="72" spans="1:22" s="11" customFormat="1">
      <c r="B72" s="320"/>
      <c r="C72" s="321"/>
      <c r="D72" s="322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</row>
    <row r="73" spans="1:22">
      <c r="A73" s="227" t="s">
        <v>308</v>
      </c>
      <c r="B73" s="306" t="str">
        <f>B65</f>
        <v>Pojazdy z silnikiem elektrycznym</v>
      </c>
      <c r="C73" s="81"/>
      <c r="D73" s="81"/>
      <c r="E73" s="81">
        <f>E65</f>
        <v>2024</v>
      </c>
      <c r="F73" s="81">
        <f>E73+1</f>
        <v>2025</v>
      </c>
      <c r="G73" s="81">
        <f t="shared" ref="G73" si="38">F73+1</f>
        <v>2026</v>
      </c>
      <c r="H73" s="81">
        <f t="shared" ref="H73" si="39">G73+1</f>
        <v>2027</v>
      </c>
      <c r="I73" s="81">
        <f t="shared" ref="I73" si="40">H73+1</f>
        <v>2028</v>
      </c>
      <c r="J73" s="81">
        <f t="shared" ref="J73" si="41">I73+1</f>
        <v>2029</v>
      </c>
      <c r="K73" s="81">
        <f t="shared" ref="K73" si="42">J73+1</f>
        <v>2030</v>
      </c>
      <c r="L73" s="81">
        <f t="shared" ref="L73" si="43">K73+1</f>
        <v>2031</v>
      </c>
      <c r="M73" s="81">
        <f t="shared" ref="M73" si="44">L73+1</f>
        <v>2032</v>
      </c>
      <c r="N73" s="81">
        <f t="shared" ref="N73" si="45">M73+1</f>
        <v>2033</v>
      </c>
      <c r="O73" s="81">
        <f t="shared" ref="O73" si="46">N73+1</f>
        <v>2034</v>
      </c>
      <c r="P73" s="81">
        <f t="shared" ref="P73" si="47">O73+1</f>
        <v>2035</v>
      </c>
      <c r="Q73" s="81">
        <f t="shared" ref="Q73" si="48">P73+1</f>
        <v>2036</v>
      </c>
      <c r="R73" s="81">
        <f t="shared" ref="R73" si="49">Q73+1</f>
        <v>2037</v>
      </c>
      <c r="S73" s="81">
        <f t="shared" ref="S73" si="50">R73+1</f>
        <v>2038</v>
      </c>
      <c r="T73" s="81">
        <f t="shared" ref="T73" si="51">S73+1</f>
        <v>2039</v>
      </c>
    </row>
    <row r="74" spans="1:22">
      <c r="A74" s="82"/>
      <c r="B74" s="323" t="s">
        <v>32</v>
      </c>
      <c r="C74" s="83"/>
      <c r="D74" s="83"/>
      <c r="E74" s="396"/>
      <c r="F74" s="396"/>
      <c r="G74" s="396"/>
      <c r="H74" s="396"/>
      <c r="I74" s="396"/>
      <c r="J74" s="396"/>
    </row>
    <row r="75" spans="1:22">
      <c r="A75" s="82"/>
      <c r="B75" s="83" t="s">
        <v>328</v>
      </c>
      <c r="C75" s="91" t="str">
        <f>C44</f>
        <v>zł</v>
      </c>
      <c r="D75" s="83"/>
      <c r="E75" s="398">
        <f t="shared" ref="E75:T75" si="52">E71</f>
        <v>0</v>
      </c>
      <c r="F75" s="398">
        <f t="shared" si="52"/>
        <v>0</v>
      </c>
      <c r="G75" s="398">
        <f t="shared" si="52"/>
        <v>21760000</v>
      </c>
      <c r="H75" s="398">
        <f t="shared" si="52"/>
        <v>0</v>
      </c>
      <c r="I75" s="398">
        <f t="shared" si="52"/>
        <v>0</v>
      </c>
      <c r="J75" s="398">
        <f t="shared" si="52"/>
        <v>600000</v>
      </c>
      <c r="K75" s="398">
        <f t="shared" si="52"/>
        <v>0</v>
      </c>
      <c r="L75" s="398">
        <f t="shared" si="52"/>
        <v>0</v>
      </c>
      <c r="M75" s="398">
        <f t="shared" si="52"/>
        <v>0</v>
      </c>
      <c r="N75" s="398">
        <f t="shared" si="52"/>
        <v>0</v>
      </c>
      <c r="O75" s="398">
        <f t="shared" si="52"/>
        <v>5370000</v>
      </c>
      <c r="P75" s="398">
        <f t="shared" si="52"/>
        <v>0</v>
      </c>
      <c r="Q75" s="398">
        <f t="shared" si="52"/>
        <v>5140000</v>
      </c>
      <c r="R75" s="398">
        <f t="shared" si="52"/>
        <v>0</v>
      </c>
      <c r="S75" s="398">
        <f t="shared" si="52"/>
        <v>4140000</v>
      </c>
      <c r="T75" s="398">
        <f t="shared" si="52"/>
        <v>0</v>
      </c>
    </row>
    <row r="76" spans="1:22" ht="12.75" customHeight="1">
      <c r="A76" s="82"/>
      <c r="B76" s="83" t="s">
        <v>41</v>
      </c>
      <c r="C76" s="325" t="s">
        <v>46</v>
      </c>
      <c r="D76" s="83"/>
      <c r="E76" s="397">
        <v>0</v>
      </c>
      <c r="F76" s="397">
        <v>0</v>
      </c>
      <c r="G76" s="397">
        <v>1050000</v>
      </c>
      <c r="H76" s="397">
        <v>0</v>
      </c>
      <c r="I76" s="397">
        <v>0</v>
      </c>
      <c r="J76" s="397">
        <v>0</v>
      </c>
      <c r="K76" s="397">
        <v>0</v>
      </c>
      <c r="L76" s="397">
        <v>0</v>
      </c>
      <c r="M76" s="397">
        <v>0</v>
      </c>
      <c r="N76" s="397">
        <v>0</v>
      </c>
      <c r="O76" s="397">
        <v>0</v>
      </c>
      <c r="P76" s="397">
        <v>0</v>
      </c>
      <c r="Q76" s="397">
        <v>0</v>
      </c>
      <c r="R76" s="397">
        <v>0</v>
      </c>
      <c r="S76" s="397">
        <v>0</v>
      </c>
      <c r="T76" s="397">
        <v>0</v>
      </c>
    </row>
    <row r="77" spans="1:22" ht="12.75" customHeight="1">
      <c r="A77" s="82"/>
      <c r="B77" s="83" t="s">
        <v>333</v>
      </c>
      <c r="C77" s="325" t="s">
        <v>46</v>
      </c>
      <c r="D77" s="325"/>
      <c r="E77" s="397">
        <v>0</v>
      </c>
      <c r="F77" s="397">
        <v>0</v>
      </c>
      <c r="G77" s="397">
        <v>0</v>
      </c>
      <c r="H77" s="397">
        <v>0</v>
      </c>
      <c r="I77" s="397">
        <v>0</v>
      </c>
      <c r="J77" s="397">
        <v>300000</v>
      </c>
      <c r="K77" s="397">
        <v>0</v>
      </c>
      <c r="L77" s="397">
        <v>0</v>
      </c>
      <c r="M77" s="397">
        <v>0</v>
      </c>
      <c r="N77" s="397">
        <v>750000</v>
      </c>
      <c r="O77" s="397">
        <v>0</v>
      </c>
      <c r="P77" s="397">
        <v>0</v>
      </c>
      <c r="Q77" s="397">
        <v>0</v>
      </c>
      <c r="R77" s="397">
        <v>0</v>
      </c>
      <c r="S77" s="397">
        <v>0</v>
      </c>
      <c r="T77" s="397">
        <v>0</v>
      </c>
    </row>
    <row r="78" spans="1:22" ht="12.75" customHeight="1">
      <c r="A78" s="82"/>
      <c r="B78" s="83" t="s">
        <v>354</v>
      </c>
      <c r="C78" s="325" t="s">
        <v>46</v>
      </c>
      <c r="D78" s="307">
        <f>D47</f>
        <v>0</v>
      </c>
      <c r="E78" s="397"/>
      <c r="F78" s="398"/>
      <c r="G78" s="398"/>
      <c r="H78" s="398"/>
      <c r="I78" s="398"/>
      <c r="J78" s="398"/>
      <c r="K78" s="398"/>
      <c r="L78" s="398"/>
      <c r="M78" s="398"/>
      <c r="N78" s="398"/>
      <c r="O78" s="398"/>
      <c r="P78" s="398"/>
      <c r="Q78" s="398"/>
      <c r="R78" s="398"/>
      <c r="S78" s="398"/>
      <c r="T78" s="398"/>
    </row>
    <row r="79" spans="1:22" ht="12.75" customHeight="1">
      <c r="A79" s="82"/>
      <c r="B79" s="83" t="s">
        <v>335</v>
      </c>
      <c r="C79" s="325" t="s">
        <v>47</v>
      </c>
      <c r="D79" s="5"/>
      <c r="E79" s="398"/>
      <c r="F79" s="398"/>
      <c r="G79" s="398"/>
      <c r="H79" s="398"/>
      <c r="I79" s="398"/>
      <c r="J79" s="398"/>
      <c r="K79" s="398"/>
      <c r="L79" s="398"/>
      <c r="M79" s="398"/>
      <c r="N79" s="398"/>
      <c r="O79" s="398"/>
      <c r="P79" s="398"/>
      <c r="Q79" s="398"/>
      <c r="R79" s="398"/>
      <c r="S79" s="398"/>
      <c r="T79" s="398"/>
    </row>
    <row r="80" spans="1:22" ht="12.75" customHeight="1">
      <c r="A80" s="82"/>
      <c r="B80" s="83" t="s">
        <v>336</v>
      </c>
      <c r="C80" s="325" t="s">
        <v>47</v>
      </c>
      <c r="D80" s="5"/>
      <c r="E80" s="398">
        <v>0</v>
      </c>
      <c r="F80" s="398">
        <v>0</v>
      </c>
      <c r="G80" s="398">
        <v>5</v>
      </c>
      <c r="H80" s="398">
        <f>G80</f>
        <v>5</v>
      </c>
      <c r="I80" s="398">
        <f t="shared" ref="I80:T80" si="53">H80</f>
        <v>5</v>
      </c>
      <c r="J80" s="398">
        <f t="shared" si="53"/>
        <v>5</v>
      </c>
      <c r="K80" s="398">
        <f t="shared" si="53"/>
        <v>5</v>
      </c>
      <c r="L80" s="398">
        <f t="shared" si="53"/>
        <v>5</v>
      </c>
      <c r="M80" s="398">
        <f t="shared" si="53"/>
        <v>5</v>
      </c>
      <c r="N80" s="398">
        <f t="shared" si="53"/>
        <v>5</v>
      </c>
      <c r="O80" s="398">
        <f t="shared" si="53"/>
        <v>5</v>
      </c>
      <c r="P80" s="398">
        <f t="shared" si="53"/>
        <v>5</v>
      </c>
      <c r="Q80" s="398">
        <f t="shared" si="53"/>
        <v>5</v>
      </c>
      <c r="R80" s="398">
        <f t="shared" si="53"/>
        <v>5</v>
      </c>
      <c r="S80" s="398">
        <f t="shared" si="53"/>
        <v>5</v>
      </c>
      <c r="T80" s="398">
        <f t="shared" si="53"/>
        <v>5</v>
      </c>
    </row>
    <row r="81" spans="1:20">
      <c r="B81" s="324"/>
      <c r="C81" s="326"/>
      <c r="D81" s="324"/>
      <c r="E81" s="86"/>
    </row>
    <row r="82" spans="1:20" ht="12.75" customHeight="1">
      <c r="A82" s="82"/>
      <c r="B82" s="83" t="s">
        <v>291</v>
      </c>
      <c r="C82" s="558"/>
      <c r="D82" s="558"/>
      <c r="E82" s="240"/>
      <c r="F82" s="240"/>
      <c r="G82" s="240"/>
      <c r="H82" s="240"/>
      <c r="I82" s="240"/>
      <c r="J82" s="240"/>
      <c r="K82" s="240"/>
    </row>
    <row r="83" spans="1:20">
      <c r="A83" s="82"/>
      <c r="B83" s="83" t="s">
        <v>292</v>
      </c>
      <c r="C83" s="85">
        <f>Założenia!E182</f>
        <v>2500</v>
      </c>
      <c r="D83" s="83" t="s">
        <v>45</v>
      </c>
      <c r="E83" s="396"/>
      <c r="F83" s="396"/>
      <c r="G83" s="396"/>
      <c r="H83" s="396"/>
      <c r="I83" s="240"/>
      <c r="J83" s="240"/>
      <c r="K83" s="240"/>
    </row>
    <row r="84" spans="1:20" ht="12" customHeight="1">
      <c r="A84" s="82"/>
      <c r="B84" s="83" t="s">
        <v>293</v>
      </c>
      <c r="C84" s="85">
        <f>Założenia!E183</f>
        <v>7000</v>
      </c>
      <c r="D84" s="83" t="s">
        <v>45</v>
      </c>
      <c r="E84" s="396"/>
      <c r="F84" s="396"/>
      <c r="G84" s="396"/>
      <c r="H84" s="396"/>
      <c r="I84" s="240"/>
      <c r="J84" s="240"/>
      <c r="K84" s="240"/>
    </row>
    <row r="85" spans="1:20">
      <c r="B85" s="83" t="s">
        <v>413</v>
      </c>
      <c r="C85" s="26">
        <v>8</v>
      </c>
      <c r="D85" s="83" t="s">
        <v>58</v>
      </c>
      <c r="E85" s="86"/>
    </row>
    <row r="86" spans="1:20">
      <c r="A86" s="82"/>
      <c r="B86" s="83" t="s">
        <v>244</v>
      </c>
      <c r="C86" s="83">
        <v>15</v>
      </c>
      <c r="D86" s="83" t="s">
        <v>58</v>
      </c>
      <c r="E86" s="396"/>
      <c r="F86" s="396"/>
      <c r="G86" s="396"/>
      <c r="H86" s="396"/>
      <c r="I86" s="396"/>
      <c r="J86" s="396"/>
    </row>
    <row r="87" spans="1:20">
      <c r="A87" s="82"/>
      <c r="B87" s="83" t="s">
        <v>73</v>
      </c>
      <c r="C87" s="26">
        <f>Założenia!F175</f>
        <v>8</v>
      </c>
      <c r="D87" s="83" t="s">
        <v>58</v>
      </c>
      <c r="E87" s="396"/>
      <c r="F87" s="396"/>
      <c r="G87" s="396"/>
      <c r="H87" s="396"/>
      <c r="I87" s="396"/>
      <c r="J87" s="396"/>
    </row>
    <row r="88" spans="1:20">
      <c r="A88" s="82"/>
      <c r="B88" s="83" t="s">
        <v>258</v>
      </c>
      <c r="C88" s="83">
        <v>15</v>
      </c>
      <c r="D88" s="83" t="s">
        <v>58</v>
      </c>
      <c r="E88" s="396"/>
      <c r="F88" s="396"/>
      <c r="G88" s="396"/>
      <c r="H88" s="396"/>
      <c r="I88" s="396"/>
      <c r="J88" s="396"/>
    </row>
    <row r="89" spans="1:20">
      <c r="I89" s="9"/>
      <c r="J89" s="9"/>
    </row>
    <row r="90" spans="1:20" ht="5.25" customHeight="1">
      <c r="C90" s="9"/>
    </row>
    <row r="91" spans="1:20">
      <c r="B91" s="89"/>
    </row>
    <row r="93" spans="1:20">
      <c r="A93" s="227" t="s">
        <v>296</v>
      </c>
      <c r="B93" s="84" t="s">
        <v>77</v>
      </c>
      <c r="C93" s="84"/>
      <c r="D93" s="84"/>
      <c r="E93" s="87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</row>
    <row r="94" spans="1:20" ht="12.75" thickBot="1"/>
    <row r="95" spans="1:20" ht="30.75" customHeight="1">
      <c r="A95" s="311" t="s">
        <v>161</v>
      </c>
      <c r="B95" s="312" t="s">
        <v>13</v>
      </c>
      <c r="C95" s="313" t="s">
        <v>241</v>
      </c>
      <c r="D95" s="559" t="s">
        <v>438</v>
      </c>
      <c r="E95" s="539"/>
      <c r="F95" s="539"/>
      <c r="G95" s="539"/>
      <c r="H95" s="538" t="s">
        <v>439</v>
      </c>
      <c r="I95" s="539"/>
      <c r="J95" s="539"/>
      <c r="K95" s="540"/>
      <c r="L95" s="436"/>
      <c r="M95" s="436"/>
      <c r="N95" s="436"/>
      <c r="O95" s="436"/>
    </row>
    <row r="96" spans="1:20" ht="24" customHeight="1">
      <c r="A96" s="314"/>
      <c r="B96" s="153"/>
      <c r="C96" s="208"/>
      <c r="D96" s="549" t="s">
        <v>194</v>
      </c>
      <c r="E96" s="548"/>
      <c r="F96" s="549" t="s">
        <v>233</v>
      </c>
      <c r="G96" s="551"/>
      <c r="H96" s="547" t="s">
        <v>194</v>
      </c>
      <c r="I96" s="548"/>
      <c r="J96" s="549" t="s">
        <v>233</v>
      </c>
      <c r="K96" s="550"/>
      <c r="L96" s="436"/>
      <c r="M96" s="436"/>
      <c r="N96" s="436"/>
      <c r="O96" s="436"/>
    </row>
    <row r="97" spans="1:20">
      <c r="A97" s="314"/>
      <c r="B97" s="153"/>
      <c r="C97" s="208"/>
      <c r="D97" s="288" t="s">
        <v>232</v>
      </c>
      <c r="E97" s="5" t="s">
        <v>0</v>
      </c>
      <c r="F97" s="288" t="s">
        <v>232</v>
      </c>
      <c r="G97" s="283" t="s">
        <v>0</v>
      </c>
      <c r="H97" s="440" t="s">
        <v>232</v>
      </c>
      <c r="I97" s="5" t="s">
        <v>0</v>
      </c>
      <c r="J97" s="288" t="s">
        <v>232</v>
      </c>
      <c r="K97" s="315" t="s">
        <v>0</v>
      </c>
      <c r="L97" s="434"/>
      <c r="M97" s="71"/>
      <c r="N97" s="434"/>
      <c r="O97" s="71"/>
    </row>
    <row r="98" spans="1:20" ht="13.5">
      <c r="A98" s="314"/>
      <c r="B98" s="155" t="s">
        <v>235</v>
      </c>
      <c r="C98" s="208"/>
      <c r="D98" s="453">
        <f>'Wariant konwencjonalny'!$C$184</f>
        <v>629.65424522822309</v>
      </c>
      <c r="E98" s="207">
        <f>'Wariant konwencjonalny'!$D$184</f>
        <v>937741.60662186914</v>
      </c>
      <c r="F98" s="194">
        <f>'Wariant konwencjonalny'!$C$185</f>
        <v>10074.467923651569</v>
      </c>
      <c r="G98" s="433">
        <f>'Wariant konwencjonalny'!$D$185</f>
        <v>15003865.705949906</v>
      </c>
      <c r="H98" s="452">
        <f>'Wariant elektryczny'!$C$184</f>
        <v>634.79263886053002</v>
      </c>
      <c r="I98" s="207">
        <f>'Wariant elektryczny'!$D$184</f>
        <v>935295.14477198874</v>
      </c>
      <c r="J98" s="194">
        <f>'Wariant elektryczny'!$C$185</f>
        <v>10156.68222176848</v>
      </c>
      <c r="K98" s="316">
        <f>'Wariant elektryczny'!$D$185</f>
        <v>14964722.31635182</v>
      </c>
      <c r="L98" s="435"/>
      <c r="M98" s="145"/>
      <c r="N98" s="435"/>
      <c r="O98" s="145"/>
    </row>
    <row r="99" spans="1:20">
      <c r="A99" s="314"/>
      <c r="B99" s="155" t="s">
        <v>177</v>
      </c>
      <c r="C99" s="208"/>
      <c r="D99" s="453">
        <f>'Wariant konwencjonalny'!$C$187</f>
        <v>1.0444975654807718</v>
      </c>
      <c r="E99" s="207">
        <f>'Wariant konwencjonalny'!$D$187</f>
        <v>86655.266608045626</v>
      </c>
      <c r="F99" s="194">
        <f>'Wariant konwencjonalny'!$C$188</f>
        <v>16.711961047692348</v>
      </c>
      <c r="G99" s="433">
        <f>'Wariant konwencjonalny'!$D$188</f>
        <v>1386484.26572873</v>
      </c>
      <c r="H99" s="452">
        <f>'Wariant elektryczny'!$C$187</f>
        <v>1.0142291596724555</v>
      </c>
      <c r="I99" s="207">
        <f>'Wariant elektryczny'!$D$187</f>
        <v>83852.563623230453</v>
      </c>
      <c r="J99" s="194">
        <f>'Wariant elektryczny'!$C$188</f>
        <v>16.227666554759288</v>
      </c>
      <c r="K99" s="316">
        <f>'Wariant elektryczny'!$D$188</f>
        <v>1341641.0179716873</v>
      </c>
      <c r="L99" s="435"/>
      <c r="M99" s="145"/>
      <c r="N99" s="435"/>
      <c r="O99" s="145"/>
    </row>
    <row r="100" spans="1:20">
      <c r="A100" s="314"/>
      <c r="B100" s="155" t="s">
        <v>234</v>
      </c>
      <c r="C100" s="208"/>
      <c r="D100" s="453">
        <f>'Wariant konwencjonalny'!$C$190</f>
        <v>0.30676595490698216</v>
      </c>
      <c r="E100" s="207">
        <f>'Wariant konwencjonalny'!$D$190</f>
        <v>1218.2389623514887</v>
      </c>
      <c r="F100" s="194">
        <f>'Wariant konwencjonalny'!$C$191</f>
        <v>4.9082552785117146</v>
      </c>
      <c r="G100" s="433">
        <f>'Wariant konwencjonalny'!$D$191</f>
        <v>19491.823397623819</v>
      </c>
      <c r="H100" s="452">
        <f>'Wariant elektryczny'!$C$190</f>
        <v>0.24853051260942918</v>
      </c>
      <c r="I100" s="207">
        <f>'Wariant elektryczny'!$D$190</f>
        <v>976.54549509765297</v>
      </c>
      <c r="J100" s="194">
        <f>'Wariant elektryczny'!$C$191</f>
        <v>3.9764882017508669</v>
      </c>
      <c r="K100" s="316">
        <f>'Wariant elektryczny'!$D$191</f>
        <v>15624.727921562448</v>
      </c>
      <c r="L100" s="435"/>
      <c r="M100" s="145"/>
      <c r="N100" s="435"/>
      <c r="O100" s="145"/>
    </row>
    <row r="101" spans="1:20">
      <c r="A101" s="314"/>
      <c r="B101" s="155" t="s">
        <v>178</v>
      </c>
      <c r="C101" s="208"/>
      <c r="D101" s="453">
        <f>'Wariant konwencjonalny'!$C$193</f>
        <v>2.4059041430611283E-2</v>
      </c>
      <c r="E101" s="207">
        <f>'Wariant konwencjonalny'!$D$193</f>
        <v>12477.321986154011</v>
      </c>
      <c r="F101" s="194">
        <f>'Wariant konwencjonalny'!$C$194</f>
        <v>0.38494466288978052</v>
      </c>
      <c r="G101" s="433">
        <f>'Wariant konwencjonalny'!$D$194</f>
        <v>199637.15177846418</v>
      </c>
      <c r="H101" s="452">
        <f>'Wariant elektryczny'!$C$193</f>
        <v>2.371560863418477E-2</v>
      </c>
      <c r="I101" s="207">
        <f>'Wariant elektryczny'!$D$193</f>
        <v>12260.868376383121</v>
      </c>
      <c r="J101" s="194">
        <f>'Wariant elektryczny'!$C$194</f>
        <v>0.37944973814695632</v>
      </c>
      <c r="K101" s="316">
        <f>'Wariant elektryczny'!$D$194</f>
        <v>196173.89402212994</v>
      </c>
      <c r="L101" s="435"/>
      <c r="M101" s="145"/>
      <c r="N101" s="435"/>
      <c r="O101" s="145"/>
    </row>
    <row r="102" spans="1:20">
      <c r="A102" s="314"/>
      <c r="B102" s="153"/>
      <c r="C102" s="208"/>
      <c r="D102" s="549"/>
      <c r="E102" s="551"/>
      <c r="F102" s="551"/>
      <c r="G102" s="551"/>
      <c r="H102" s="547"/>
      <c r="I102" s="551"/>
      <c r="J102" s="551"/>
      <c r="K102" s="550"/>
      <c r="L102" s="436"/>
      <c r="M102" s="436"/>
      <c r="N102" s="436"/>
      <c r="O102" s="436"/>
    </row>
    <row r="103" spans="1:20">
      <c r="A103" s="317" t="s">
        <v>33</v>
      </c>
      <c r="B103" s="154" t="s">
        <v>259</v>
      </c>
      <c r="C103" s="400" t="s">
        <v>0</v>
      </c>
      <c r="D103" s="552">
        <f>D104+D105</f>
        <v>21960000</v>
      </c>
      <c r="E103" s="545"/>
      <c r="F103" s="545"/>
      <c r="G103" s="545"/>
      <c r="H103" s="544">
        <f>H104+H105</f>
        <v>30560000</v>
      </c>
      <c r="I103" s="545"/>
      <c r="J103" s="545"/>
      <c r="K103" s="546"/>
      <c r="L103" s="437"/>
      <c r="M103" s="437"/>
      <c r="N103" s="437"/>
      <c r="O103" s="437"/>
    </row>
    <row r="104" spans="1:20">
      <c r="A104" s="317" t="s">
        <v>34</v>
      </c>
      <c r="B104" s="155" t="s">
        <v>295</v>
      </c>
      <c r="C104" s="400" t="s">
        <v>0</v>
      </c>
      <c r="D104" s="555">
        <f>'Wariant konwencjonalny'!$D$103</f>
        <v>0</v>
      </c>
      <c r="E104" s="533"/>
      <c r="F104" s="533"/>
      <c r="G104" s="533"/>
      <c r="H104" s="532">
        <f>'Wariant elektryczny'!$D$103</f>
        <v>1050000</v>
      </c>
      <c r="I104" s="533"/>
      <c r="J104" s="533"/>
      <c r="K104" s="534"/>
      <c r="L104" s="144"/>
      <c r="M104" s="144"/>
      <c r="N104" s="144"/>
      <c r="O104" s="144"/>
    </row>
    <row r="105" spans="1:20">
      <c r="A105" s="317" t="s">
        <v>29</v>
      </c>
      <c r="B105" s="155" t="s">
        <v>389</v>
      </c>
      <c r="C105" s="400" t="s">
        <v>0</v>
      </c>
      <c r="D105" s="555">
        <f>'Wariant konwencjonalny'!$D$102</f>
        <v>21960000</v>
      </c>
      <c r="E105" s="533"/>
      <c r="F105" s="533"/>
      <c r="G105" s="533"/>
      <c r="H105" s="532">
        <f>'Wariant elektryczny'!$D$102</f>
        <v>29510000</v>
      </c>
      <c r="I105" s="533"/>
      <c r="J105" s="533"/>
      <c r="K105" s="534"/>
      <c r="L105" s="144"/>
      <c r="M105" s="144"/>
      <c r="N105" s="144"/>
      <c r="O105" s="144"/>
    </row>
    <row r="106" spans="1:20">
      <c r="A106" s="317" t="s">
        <v>30</v>
      </c>
      <c r="B106" s="155" t="s">
        <v>163</v>
      </c>
      <c r="C106" s="400" t="s">
        <v>243</v>
      </c>
      <c r="D106" s="555">
        <f>AVERAGE('Wariant konwencjonalny'!$E$127:$T$127)</f>
        <v>-175715.16481126519</v>
      </c>
      <c r="E106" s="533"/>
      <c r="F106" s="533"/>
      <c r="G106" s="533"/>
      <c r="H106" s="532">
        <f>AVERAGE('Wariant elektryczny'!$E$127:$T$127)</f>
        <v>-64507.729837092804</v>
      </c>
      <c r="I106" s="533"/>
      <c r="J106" s="533"/>
      <c r="K106" s="534"/>
      <c r="L106" s="144"/>
      <c r="M106" s="144"/>
      <c r="N106" s="144"/>
      <c r="O106" s="144"/>
    </row>
    <row r="107" spans="1:20">
      <c r="A107" s="317" t="s">
        <v>31</v>
      </c>
      <c r="B107" s="155" t="s">
        <v>242</v>
      </c>
      <c r="C107" s="400" t="s">
        <v>0</v>
      </c>
      <c r="D107" s="552">
        <f t="shared" ref="D107" si="54">SUM(D108:G110)</f>
        <v>22378.63197023674</v>
      </c>
      <c r="E107" s="545"/>
      <c r="F107" s="545"/>
      <c r="G107" s="545"/>
      <c r="H107" s="544">
        <f t="shared" ref="H107" si="55">SUM(H108:K110)</f>
        <v>1505416.4160378852</v>
      </c>
      <c r="I107" s="545"/>
      <c r="J107" s="545"/>
      <c r="K107" s="546"/>
      <c r="L107" s="437"/>
      <c r="M107" s="437"/>
      <c r="N107" s="437"/>
      <c r="O107" s="437"/>
    </row>
    <row r="108" spans="1:20">
      <c r="A108" s="317" t="s">
        <v>35</v>
      </c>
      <c r="B108" s="155" t="s">
        <v>248</v>
      </c>
      <c r="C108" s="400" t="s">
        <v>0</v>
      </c>
      <c r="D108" s="555">
        <f>'Wariant konwencjonalny'!$D$166</f>
        <v>22271.173741266452</v>
      </c>
      <c r="E108" s="533"/>
      <c r="F108" s="533"/>
      <c r="G108" s="533"/>
      <c r="H108" s="532">
        <f>'Wariant elektryczny'!$D$166</f>
        <v>59218.366473223999</v>
      </c>
      <c r="I108" s="533"/>
      <c r="J108" s="533"/>
      <c r="K108" s="534"/>
      <c r="L108" s="144"/>
      <c r="M108" s="144"/>
      <c r="N108" s="144"/>
      <c r="O108" s="144"/>
    </row>
    <row r="109" spans="1:20" ht="13.5">
      <c r="A109" s="317" t="s">
        <v>36</v>
      </c>
      <c r="B109" s="155" t="s">
        <v>360</v>
      </c>
      <c r="C109" s="400" t="s">
        <v>0</v>
      </c>
      <c r="D109" s="555">
        <f>'Wariant konwencjonalny'!$D$167</f>
        <v>-2776.2003900740992</v>
      </c>
      <c r="E109" s="533"/>
      <c r="F109" s="533"/>
      <c r="G109" s="533"/>
      <c r="H109" s="532">
        <f>'Wariant elektryczny'!$D$167</f>
        <v>-19784.643303482982</v>
      </c>
      <c r="I109" s="533"/>
      <c r="J109" s="533"/>
      <c r="K109" s="534"/>
      <c r="L109" s="144"/>
      <c r="M109" s="144"/>
      <c r="N109" s="144"/>
      <c r="O109" s="144"/>
    </row>
    <row r="110" spans="1:20" ht="12.75" thickBot="1">
      <c r="A110" s="317" t="s">
        <v>37</v>
      </c>
      <c r="B110" s="209" t="s">
        <v>294</v>
      </c>
      <c r="C110" s="401" t="s">
        <v>0</v>
      </c>
      <c r="D110" s="556">
        <f>'Wariant konwencjonalny'!$D$168</f>
        <v>2883.6586190443877</v>
      </c>
      <c r="E110" s="536"/>
      <c r="F110" s="536"/>
      <c r="G110" s="536"/>
      <c r="H110" s="535">
        <f>'Wariant elektryczny'!$D$168</f>
        <v>1465982.6928681443</v>
      </c>
      <c r="I110" s="536"/>
      <c r="J110" s="536"/>
      <c r="K110" s="537"/>
      <c r="L110" s="144"/>
      <c r="M110" s="144"/>
      <c r="N110" s="144"/>
      <c r="O110" s="144"/>
    </row>
    <row r="111" spans="1:20">
      <c r="A111" s="318" t="s">
        <v>38</v>
      </c>
      <c r="B111" s="210" t="s">
        <v>67</v>
      </c>
      <c r="C111" s="402" t="s">
        <v>0</v>
      </c>
      <c r="D111" s="557">
        <f>'Wariant konwencjonalny'!$E$177</f>
        <v>-13225719.971653951</v>
      </c>
      <c r="E111" s="530"/>
      <c r="F111" s="530"/>
      <c r="G111" s="530"/>
      <c r="H111" s="529">
        <f>'Wariant elektryczny'!$E$177</f>
        <v>-19256165.992767602</v>
      </c>
      <c r="I111" s="530"/>
      <c r="J111" s="530"/>
      <c r="K111" s="531"/>
      <c r="L111" s="437"/>
      <c r="M111" s="437"/>
      <c r="N111" s="437"/>
      <c r="O111" s="437"/>
      <c r="P111" s="88"/>
      <c r="Q111" s="88"/>
      <c r="R111" s="88"/>
      <c r="S111" s="88"/>
      <c r="T111" s="88"/>
    </row>
    <row r="112" spans="1:20" ht="12" customHeight="1">
      <c r="A112" s="318" t="s">
        <v>39</v>
      </c>
      <c r="B112" s="211" t="s">
        <v>64</v>
      </c>
      <c r="C112" s="403" t="s">
        <v>1</v>
      </c>
      <c r="D112" s="553" t="str">
        <f>IF('Wariant konwencjonalny'!$F$178="nie istnieje",'Wariant konwencjonalny'!$F$178,'Wariant konwencjonalny'!$E$178)</f>
        <v>nie istnieje</v>
      </c>
      <c r="E112" s="542"/>
      <c r="F112" s="542"/>
      <c r="G112" s="542"/>
      <c r="H112" s="541" t="str">
        <f>IF('Wariant elektryczny'!$F$178="nie istnieje",'Wariant elektryczny'!$F$178,'Wariant elektryczny'!$E$178)</f>
        <v>nie istnieje</v>
      </c>
      <c r="I112" s="542"/>
      <c r="J112" s="542"/>
      <c r="K112" s="543"/>
      <c r="L112" s="438"/>
      <c r="M112" s="438"/>
      <c r="N112" s="438"/>
      <c r="O112" s="438"/>
    </row>
    <row r="113" spans="1:15" ht="12.75" thickBot="1">
      <c r="A113" s="319" t="s">
        <v>40</v>
      </c>
      <c r="B113" s="212" t="s">
        <v>65</v>
      </c>
      <c r="C113" s="404" t="s">
        <v>2</v>
      </c>
      <c r="D113" s="554">
        <f>'Wariant konwencjonalny'!$E$179</f>
        <v>0.16298344866968312</v>
      </c>
      <c r="E113" s="527"/>
      <c r="F113" s="527"/>
      <c r="G113" s="527"/>
      <c r="H113" s="526">
        <f>'Wariant elektryczny'!$E$179</f>
        <v>0.17244729977823872</v>
      </c>
      <c r="I113" s="527"/>
      <c r="J113" s="527"/>
      <c r="K113" s="528"/>
      <c r="L113" s="439"/>
      <c r="M113" s="439"/>
      <c r="N113" s="439"/>
      <c r="O113" s="439"/>
    </row>
    <row r="114" spans="1:15">
      <c r="E114" s="9"/>
    </row>
    <row r="115" spans="1:15" ht="33.75">
      <c r="B115" s="470" t="s">
        <v>440</v>
      </c>
      <c r="D115" s="2"/>
      <c r="E115" s="2"/>
      <c r="F115" s="2"/>
    </row>
    <row r="116" spans="1:15">
      <c r="B116" s="471"/>
      <c r="C116" s="71"/>
      <c r="D116" s="156"/>
      <c r="E116" s="156"/>
      <c r="F116" s="156"/>
    </row>
    <row r="117" spans="1:15" ht="33.75">
      <c r="B117" s="470" t="s">
        <v>441</v>
      </c>
    </row>
    <row r="119" spans="1:15">
      <c r="C119" s="9"/>
      <c r="D119" s="9"/>
      <c r="E119" s="89"/>
    </row>
    <row r="120" spans="1:15">
      <c r="C120" s="9"/>
      <c r="D120" s="9"/>
      <c r="E120" s="165"/>
    </row>
  </sheetData>
  <mergeCells count="31">
    <mergeCell ref="C82:D82"/>
    <mergeCell ref="D95:G95"/>
    <mergeCell ref="D96:E96"/>
    <mergeCell ref="F96:G96"/>
    <mergeCell ref="D102:G102"/>
    <mergeCell ref="D103:G103"/>
    <mergeCell ref="D112:G112"/>
    <mergeCell ref="D113:G113"/>
    <mergeCell ref="D104:G104"/>
    <mergeCell ref="D105:G105"/>
    <mergeCell ref="D106:G106"/>
    <mergeCell ref="D107:G107"/>
    <mergeCell ref="D108:G108"/>
    <mergeCell ref="D109:G109"/>
    <mergeCell ref="D110:G110"/>
    <mergeCell ref="D111:G111"/>
    <mergeCell ref="H95:K95"/>
    <mergeCell ref="H112:K112"/>
    <mergeCell ref="H103:K103"/>
    <mergeCell ref="H104:K104"/>
    <mergeCell ref="H105:K105"/>
    <mergeCell ref="H106:K106"/>
    <mergeCell ref="H107:K107"/>
    <mergeCell ref="H96:I96"/>
    <mergeCell ref="J96:K96"/>
    <mergeCell ref="H102:K102"/>
    <mergeCell ref="H113:K113"/>
    <mergeCell ref="H111:K111"/>
    <mergeCell ref="H108:K108"/>
    <mergeCell ref="H109:K109"/>
    <mergeCell ref="H110:K110"/>
  </mergeCells>
  <phoneticPr fontId="7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7"/>
  <sheetViews>
    <sheetView workbookViewId="0">
      <selection activeCell="D22" sqref="D22"/>
    </sheetView>
  </sheetViews>
  <sheetFormatPr defaultColWidth="9.140625" defaultRowHeight="15"/>
  <cols>
    <col min="1" max="1" width="9.140625" style="291"/>
    <col min="2" max="2" width="31.7109375" style="291" customWidth="1"/>
    <col min="3" max="3" width="10.28515625" style="291" customWidth="1"/>
    <col min="4" max="19" width="11.28515625" style="291" bestFit="1" customWidth="1"/>
    <col min="20" max="16384" width="9.140625" style="291"/>
  </cols>
  <sheetData>
    <row r="1" spans="1:20">
      <c r="A1" s="227" t="s">
        <v>249</v>
      </c>
      <c r="B1" s="81" t="s">
        <v>305</v>
      </c>
    </row>
    <row r="2" spans="1:20">
      <c r="B2" s="247" t="s">
        <v>12</v>
      </c>
      <c r="C2" s="248" t="s">
        <v>241</v>
      </c>
      <c r="D2" s="248">
        <f>Założenia!E7</f>
        <v>2024</v>
      </c>
      <c r="E2" s="250">
        <f t="shared" ref="E2:S2" si="0">D2+1</f>
        <v>2025</v>
      </c>
      <c r="F2" s="250">
        <f t="shared" si="0"/>
        <v>2026</v>
      </c>
      <c r="G2" s="250">
        <f t="shared" si="0"/>
        <v>2027</v>
      </c>
      <c r="H2" s="250">
        <f t="shared" si="0"/>
        <v>2028</v>
      </c>
      <c r="I2" s="250">
        <f t="shared" si="0"/>
        <v>2029</v>
      </c>
      <c r="J2" s="250">
        <f t="shared" si="0"/>
        <v>2030</v>
      </c>
      <c r="K2" s="250">
        <f t="shared" si="0"/>
        <v>2031</v>
      </c>
      <c r="L2" s="250">
        <f t="shared" si="0"/>
        <v>2032</v>
      </c>
      <c r="M2" s="250">
        <f t="shared" si="0"/>
        <v>2033</v>
      </c>
      <c r="N2" s="250">
        <f t="shared" si="0"/>
        <v>2034</v>
      </c>
      <c r="O2" s="250">
        <f t="shared" si="0"/>
        <v>2035</v>
      </c>
      <c r="P2" s="250">
        <f t="shared" si="0"/>
        <v>2036</v>
      </c>
      <c r="Q2" s="250">
        <f t="shared" si="0"/>
        <v>2037</v>
      </c>
      <c r="R2" s="250">
        <f t="shared" si="0"/>
        <v>2038</v>
      </c>
      <c r="S2" s="250">
        <f t="shared" si="0"/>
        <v>2039</v>
      </c>
    </row>
    <row r="3" spans="1:20" ht="9.75" customHeight="1">
      <c r="B3" s="292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</row>
    <row r="4" spans="1:20" s="301" customFormat="1" ht="12">
      <c r="A4" s="288">
        <v>1</v>
      </c>
      <c r="B4" s="302" t="s">
        <v>327</v>
      </c>
      <c r="C4" s="248" t="s">
        <v>326</v>
      </c>
      <c r="D4" s="327">
        <f>Założenia!D213/1000000</f>
        <v>1.0339402</v>
      </c>
      <c r="E4" s="327">
        <f>Założenia!E213/1000000</f>
        <v>1.0234583000000002</v>
      </c>
      <c r="F4" s="327">
        <f>Założenia!F213/1000000</f>
        <v>1.0234583000000002</v>
      </c>
      <c r="G4" s="327">
        <f>Założenia!G213/1000000</f>
        <v>1.0234583000000002</v>
      </c>
      <c r="H4" s="327">
        <f>Założenia!H213/1000000</f>
        <v>1.0234583000000002</v>
      </c>
      <c r="I4" s="327">
        <f>Założenia!I213/1000000</f>
        <v>1.0234583000000002</v>
      </c>
      <c r="J4" s="327">
        <f>Założenia!J213/1000000</f>
        <v>1.0234583000000002</v>
      </c>
      <c r="K4" s="327">
        <f>Założenia!K213/1000000</f>
        <v>1.0234583000000002</v>
      </c>
      <c r="L4" s="327">
        <f>Założenia!L213/1000000</f>
        <v>1.0234583000000002</v>
      </c>
      <c r="M4" s="327">
        <f>Założenia!M213/1000000</f>
        <v>1.0234583000000002</v>
      </c>
      <c r="N4" s="327">
        <f>Założenia!N213/1000000</f>
        <v>1.0234583000000002</v>
      </c>
      <c r="O4" s="327">
        <f>Założenia!O213/1000000</f>
        <v>1.0234583000000002</v>
      </c>
      <c r="P4" s="327">
        <f>Założenia!P213/1000000</f>
        <v>1.0234583000000002</v>
      </c>
      <c r="Q4" s="327">
        <f>Założenia!Q213/1000000</f>
        <v>1.0234583000000002</v>
      </c>
      <c r="R4" s="327">
        <f>Założenia!R213/1000000</f>
        <v>1.0234583000000002</v>
      </c>
      <c r="S4" s="327">
        <f>Założenia!S213/1000000</f>
        <v>1.0234583000000002</v>
      </c>
    </row>
    <row r="5" spans="1:20" s="301" customFormat="1" ht="27.75" customHeight="1">
      <c r="A5" s="560" t="s">
        <v>324</v>
      </c>
      <c r="B5" s="560"/>
      <c r="C5" s="248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  <c r="O5" s="561"/>
      <c r="P5" s="561"/>
      <c r="Q5" s="561"/>
      <c r="R5" s="561"/>
      <c r="S5" s="562"/>
    </row>
    <row r="6" spans="1:20" s="301" customFormat="1" ht="12">
      <c r="A6" s="288">
        <v>2</v>
      </c>
      <c r="B6" s="302" t="s">
        <v>353</v>
      </c>
      <c r="C6" s="248" t="s">
        <v>377</v>
      </c>
      <c r="D6" s="466">
        <v>2678.7579999999998</v>
      </c>
      <c r="E6" s="466">
        <v>2687.8760000000002</v>
      </c>
      <c r="F6" s="466">
        <v>2693.4929999999999</v>
      </c>
      <c r="G6" s="466">
        <v>2699.11</v>
      </c>
      <c r="H6" s="466">
        <v>2704.7269999999999</v>
      </c>
      <c r="I6" s="466">
        <v>2710.3440000000001</v>
      </c>
      <c r="J6" s="466">
        <v>2715.9609999999998</v>
      </c>
      <c r="K6" s="466">
        <v>2719.7759999999998</v>
      </c>
      <c r="L6" s="466">
        <v>2723.5920000000001</v>
      </c>
      <c r="M6" s="466">
        <v>2727.4079999999999</v>
      </c>
      <c r="N6" s="466">
        <v>2731.223</v>
      </c>
      <c r="O6" s="466">
        <v>2735.0390000000002</v>
      </c>
      <c r="P6" s="466">
        <v>2738.855</v>
      </c>
      <c r="Q6" s="466">
        <v>2742.6709999999998</v>
      </c>
      <c r="R6" s="466">
        <v>2746.4859999999999</v>
      </c>
      <c r="S6" s="466">
        <v>2750.3020000000001</v>
      </c>
    </row>
    <row r="7" spans="1:20" s="301" customFormat="1" ht="12">
      <c r="A7" s="288">
        <v>3</v>
      </c>
      <c r="B7" s="302" t="s">
        <v>306</v>
      </c>
      <c r="C7" s="248" t="s">
        <v>325</v>
      </c>
      <c r="D7" s="428">
        <v>0.59933330000000007</v>
      </c>
      <c r="E7" s="428">
        <v>0.60137340000000006</v>
      </c>
      <c r="F7" s="428">
        <v>0.60263009999999995</v>
      </c>
      <c r="G7" s="428">
        <v>0.6038868225055718</v>
      </c>
      <c r="H7" s="428">
        <v>0.60514354501114354</v>
      </c>
      <c r="I7" s="428">
        <v>0.60640026751671539</v>
      </c>
      <c r="J7" s="428">
        <v>0.60765699002228701</v>
      </c>
      <c r="K7" s="428">
        <v>0.60851054109203173</v>
      </c>
      <c r="L7" s="428">
        <v>0.60936431589731244</v>
      </c>
      <c r="M7" s="428">
        <v>0.61021809070259325</v>
      </c>
      <c r="N7" s="428">
        <v>0.61107164177233797</v>
      </c>
      <c r="O7" s="428">
        <v>0.61192541657761867</v>
      </c>
      <c r="P7" s="428">
        <v>0.61277919138289938</v>
      </c>
      <c r="Q7" s="428">
        <v>0.6136329661881802</v>
      </c>
      <c r="R7" s="428">
        <v>0.61448651725792491</v>
      </c>
      <c r="S7" s="428">
        <v>0.61534029206320562</v>
      </c>
    </row>
  </sheetData>
  <mergeCells count="2">
    <mergeCell ref="A5:B5"/>
    <mergeCell ref="D5:S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A2:V676"/>
  <sheetViews>
    <sheetView showGridLines="0" topLeftCell="C1" zoomScaleNormal="100" workbookViewId="0">
      <pane ySplit="5" topLeftCell="A6" activePane="bottomLeft" state="frozen"/>
      <selection activeCell="E103" sqref="E103"/>
      <selection pane="bottomLeft" activeCell="E32" sqref="E32"/>
    </sheetView>
  </sheetViews>
  <sheetFormatPr defaultRowHeight="12.75" outlineLevelCol="1"/>
  <cols>
    <col min="1" max="1" width="10.42578125" bestFit="1" customWidth="1"/>
    <col min="2" max="2" width="57.7109375" style="21" customWidth="1"/>
    <col min="3" max="3" width="11.42578125" style="22" bestFit="1" customWidth="1"/>
    <col min="4" max="4" width="10.5703125" style="22" bestFit="1" customWidth="1"/>
    <col min="5" max="5" width="13.42578125" bestFit="1" customWidth="1"/>
    <col min="6" max="7" width="12.28515625" customWidth="1"/>
    <col min="8" max="8" width="11.85546875" customWidth="1"/>
    <col min="9" max="9" width="12.28515625" customWidth="1"/>
    <col min="10" max="13" width="12.28515625" customWidth="1" outlineLevel="1"/>
    <col min="14" max="14" width="12.28515625" customWidth="1"/>
    <col min="15" max="18" width="12.28515625" customWidth="1" outlineLevel="1"/>
    <col min="19" max="19" width="12.28515625" customWidth="1"/>
    <col min="20" max="20" width="12.28515625" customWidth="1" outlineLevel="1"/>
  </cols>
  <sheetData>
    <row r="2" spans="1:21">
      <c r="E2" s="135">
        <v>0</v>
      </c>
      <c r="F2" s="135">
        <f t="shared" ref="F2:T2" si="0">E2+1</f>
        <v>1</v>
      </c>
      <c r="G2" s="135">
        <f t="shared" si="0"/>
        <v>2</v>
      </c>
      <c r="H2" s="135">
        <f t="shared" si="0"/>
        <v>3</v>
      </c>
      <c r="I2" s="135">
        <f t="shared" si="0"/>
        <v>4</v>
      </c>
      <c r="J2" s="135">
        <f t="shared" si="0"/>
        <v>5</v>
      </c>
      <c r="K2" s="135">
        <f t="shared" si="0"/>
        <v>6</v>
      </c>
      <c r="L2" s="135">
        <f t="shared" si="0"/>
        <v>7</v>
      </c>
      <c r="M2" s="135">
        <f t="shared" si="0"/>
        <v>8</v>
      </c>
      <c r="N2" s="135">
        <f t="shared" si="0"/>
        <v>9</v>
      </c>
      <c r="O2" s="135">
        <f t="shared" si="0"/>
        <v>10</v>
      </c>
      <c r="P2" s="135">
        <f t="shared" si="0"/>
        <v>11</v>
      </c>
      <c r="Q2" s="135">
        <f t="shared" si="0"/>
        <v>12</v>
      </c>
      <c r="R2" s="135">
        <f t="shared" si="0"/>
        <v>13</v>
      </c>
      <c r="S2" s="135">
        <f t="shared" si="0"/>
        <v>14</v>
      </c>
      <c r="T2" s="135">
        <f t="shared" si="0"/>
        <v>15</v>
      </c>
    </row>
    <row r="3" spans="1:21">
      <c r="A3" s="1"/>
      <c r="B3" s="245" t="s">
        <v>339</v>
      </c>
      <c r="C3" s="245"/>
      <c r="D3" s="246"/>
      <c r="E3" s="245"/>
      <c r="F3" s="245"/>
      <c r="G3" s="564"/>
      <c r="H3" s="564"/>
      <c r="I3" s="564"/>
      <c r="J3" s="564"/>
      <c r="K3" s="564"/>
      <c r="L3" s="564"/>
      <c r="M3" s="564"/>
      <c r="N3" s="564"/>
      <c r="O3" s="564"/>
      <c r="P3" s="564"/>
      <c r="Q3" s="564"/>
      <c r="R3" s="564"/>
      <c r="S3" s="564"/>
      <c r="T3" s="564"/>
      <c r="U3" s="1"/>
    </row>
    <row r="4" spans="1:21">
      <c r="A4" s="1"/>
      <c r="B4" s="86"/>
      <c r="C4" s="71"/>
      <c r="D4" s="71"/>
      <c r="E4" s="35"/>
      <c r="F4" s="35"/>
      <c r="G4" s="35"/>
      <c r="H4" s="35"/>
      <c r="I4" s="35"/>
      <c r="J4" s="35"/>
      <c r="K4" s="35"/>
      <c r="L4" s="35"/>
      <c r="M4" s="35"/>
      <c r="N4" s="236"/>
      <c r="O4" s="236"/>
      <c r="P4" s="236"/>
      <c r="Q4" s="236"/>
      <c r="R4" s="236"/>
      <c r="S4" s="236"/>
      <c r="T4" s="236"/>
      <c r="U4" s="1"/>
    </row>
    <row r="5" spans="1:21" ht="22.5" customHeight="1">
      <c r="A5" s="1"/>
      <c r="B5" s="247" t="s">
        <v>12</v>
      </c>
      <c r="C5" s="248" t="s">
        <v>241</v>
      </c>
      <c r="D5" s="248" t="s">
        <v>14</v>
      </c>
      <c r="E5" s="249">
        <f>Założenia!E6</f>
        <v>2024</v>
      </c>
      <c r="F5" s="250">
        <f t="shared" ref="F5:T5" si="1">E5+1</f>
        <v>2025</v>
      </c>
      <c r="G5" s="250">
        <f t="shared" si="1"/>
        <v>2026</v>
      </c>
      <c r="H5" s="250">
        <f t="shared" si="1"/>
        <v>2027</v>
      </c>
      <c r="I5" s="250">
        <f t="shared" si="1"/>
        <v>2028</v>
      </c>
      <c r="J5" s="250">
        <f t="shared" si="1"/>
        <v>2029</v>
      </c>
      <c r="K5" s="250">
        <f t="shared" si="1"/>
        <v>2030</v>
      </c>
      <c r="L5" s="250">
        <f t="shared" si="1"/>
        <v>2031</v>
      </c>
      <c r="M5" s="250">
        <f t="shared" si="1"/>
        <v>2032</v>
      </c>
      <c r="N5" s="250">
        <f t="shared" si="1"/>
        <v>2033</v>
      </c>
      <c r="O5" s="250">
        <f t="shared" si="1"/>
        <v>2034</v>
      </c>
      <c r="P5" s="250">
        <f t="shared" si="1"/>
        <v>2035</v>
      </c>
      <c r="Q5" s="250">
        <f t="shared" si="1"/>
        <v>2036</v>
      </c>
      <c r="R5" s="250">
        <f t="shared" si="1"/>
        <v>2037</v>
      </c>
      <c r="S5" s="250">
        <f t="shared" si="1"/>
        <v>2038</v>
      </c>
      <c r="T5" s="250">
        <f t="shared" si="1"/>
        <v>2039</v>
      </c>
      <c r="U5" s="1"/>
    </row>
    <row r="6" spans="1:21">
      <c r="A6" s="1"/>
      <c r="B6" s="86"/>
      <c r="C6" s="71"/>
      <c r="D6" s="7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>
      <c r="A7" s="1"/>
      <c r="B7" s="86"/>
      <c r="C7" s="71"/>
      <c r="D7" s="71"/>
      <c r="E7" s="9"/>
      <c r="F7" s="9"/>
      <c r="G7" s="9"/>
      <c r="H7" s="35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"/>
    </row>
    <row r="8" spans="1:21" s="1" customFormat="1" ht="12">
      <c r="A8" s="227" t="s">
        <v>249</v>
      </c>
      <c r="B8" s="81" t="s">
        <v>280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1" s="23" customFormat="1">
      <c r="A9" s="37" t="s">
        <v>33</v>
      </c>
      <c r="B9" s="251" t="s">
        <v>303</v>
      </c>
      <c r="C9" s="175" t="s">
        <v>0</v>
      </c>
      <c r="D9" s="252"/>
      <c r="E9" s="107">
        <f>przychody!D7*1000000</f>
        <v>599333.30000000005</v>
      </c>
      <c r="F9" s="107">
        <f>przychody!E7*1000000</f>
        <v>601373.4</v>
      </c>
      <c r="G9" s="107">
        <f>przychody!F7*1000000</f>
        <v>602630.1</v>
      </c>
      <c r="H9" s="107">
        <f>przychody!G7*1000000</f>
        <v>603886.82250557176</v>
      </c>
      <c r="I9" s="107">
        <f>przychody!H7*1000000</f>
        <v>605143.54501114355</v>
      </c>
      <c r="J9" s="107">
        <f>przychody!I7*1000000</f>
        <v>606400.26751671534</v>
      </c>
      <c r="K9" s="107">
        <f>przychody!J7*1000000</f>
        <v>607656.99002228701</v>
      </c>
      <c r="L9" s="107">
        <f>przychody!K7*1000000</f>
        <v>608510.54109203175</v>
      </c>
      <c r="M9" s="107">
        <f>przychody!L7*1000000</f>
        <v>609364.31589731248</v>
      </c>
      <c r="N9" s="107">
        <f>przychody!M7*1000000</f>
        <v>610218.09070259321</v>
      </c>
      <c r="O9" s="107">
        <f>przychody!N7*1000000</f>
        <v>611071.64177233796</v>
      </c>
      <c r="P9" s="107">
        <f>przychody!O7*1000000</f>
        <v>611925.41657761869</v>
      </c>
      <c r="Q9" s="107">
        <f>przychody!P7*1000000</f>
        <v>612779.19138289941</v>
      </c>
      <c r="R9" s="107">
        <f>przychody!Q7*1000000</f>
        <v>613632.96618818014</v>
      </c>
      <c r="S9" s="107">
        <f>przychody!R7*1000000</f>
        <v>614486.51725792489</v>
      </c>
      <c r="T9" s="107">
        <f>przychody!S7*1000000</f>
        <v>615340.29206320562</v>
      </c>
      <c r="U9" s="11"/>
    </row>
    <row r="10" spans="1:21" s="23" customFormat="1">
      <c r="A10" s="37" t="s">
        <v>34</v>
      </c>
      <c r="B10" s="251" t="s">
        <v>74</v>
      </c>
      <c r="C10" s="175" t="s">
        <v>0</v>
      </c>
      <c r="D10" s="252"/>
      <c r="E10" s="107">
        <f t="shared" ref="E10:T10" si="2">E11+E39</f>
        <v>7048197.5173829487</v>
      </c>
      <c r="F10" s="107">
        <f t="shared" si="2"/>
        <v>7062494.5147185149</v>
      </c>
      <c r="G10" s="107">
        <f t="shared" si="2"/>
        <v>7099919.2750472715</v>
      </c>
      <c r="H10" s="107">
        <f t="shared" si="2"/>
        <v>7135855.6195892654</v>
      </c>
      <c r="I10" s="107">
        <f t="shared" si="2"/>
        <v>7173280.379918023</v>
      </c>
      <c r="J10" s="107">
        <f t="shared" si="2"/>
        <v>7210705.1402467806</v>
      </c>
      <c r="K10" s="107">
        <f t="shared" si="2"/>
        <v>7234302.4100647727</v>
      </c>
      <c r="L10" s="107">
        <f t="shared" si="2"/>
        <v>7248039.2681766069</v>
      </c>
      <c r="M10" s="107">
        <f t="shared" si="2"/>
        <v>7285464.0285053644</v>
      </c>
      <c r="N10" s="107">
        <f t="shared" si="2"/>
        <v>7123290.0670807483</v>
      </c>
      <c r="O10" s="107">
        <f t="shared" si="2"/>
        <v>7160714.8274095058</v>
      </c>
      <c r="P10" s="107">
        <f t="shared" si="2"/>
        <v>7198139.5877382634</v>
      </c>
      <c r="Q10" s="107">
        <f t="shared" si="2"/>
        <v>7176754.0104075456</v>
      </c>
      <c r="R10" s="107">
        <f t="shared" si="2"/>
        <v>7224871.5594016621</v>
      </c>
      <c r="S10" s="107">
        <f t="shared" si="2"/>
        <v>7262296.3197304197</v>
      </c>
      <c r="T10" s="107">
        <f t="shared" si="2"/>
        <v>7271206.9769515516</v>
      </c>
      <c r="U10" s="11"/>
    </row>
    <row r="11" spans="1:21" s="23" customFormat="1">
      <c r="A11" s="37" t="s">
        <v>350</v>
      </c>
      <c r="B11" s="251" t="s">
        <v>349</v>
      </c>
      <c r="C11" s="175"/>
      <c r="D11" s="252"/>
      <c r="E11" s="107">
        <f t="shared" ref="E11:T11" si="3">E12+E32+E34+E35+E36+E33</f>
        <v>6083303.725598949</v>
      </c>
      <c r="F11" s="107">
        <f t="shared" si="3"/>
        <v>6097600.7229345152</v>
      </c>
      <c r="G11" s="107">
        <f t="shared" si="3"/>
        <v>6135025.4832632719</v>
      </c>
      <c r="H11" s="107">
        <f t="shared" si="3"/>
        <v>6170961.8278052658</v>
      </c>
      <c r="I11" s="107">
        <f t="shared" si="3"/>
        <v>6208386.5881340234</v>
      </c>
      <c r="J11" s="107">
        <f t="shared" si="3"/>
        <v>6245811.3484627809</v>
      </c>
      <c r="K11" s="107">
        <f t="shared" si="3"/>
        <v>6269408.6182807731</v>
      </c>
      <c r="L11" s="107">
        <f t="shared" si="3"/>
        <v>6283145.4763926072</v>
      </c>
      <c r="M11" s="107">
        <f t="shared" si="3"/>
        <v>6320570.2367213648</v>
      </c>
      <c r="N11" s="107">
        <f t="shared" si="3"/>
        <v>6158396.2752967486</v>
      </c>
      <c r="O11" s="107">
        <f t="shared" si="3"/>
        <v>6195821.0356255062</v>
      </c>
      <c r="P11" s="107">
        <f t="shared" si="3"/>
        <v>6233245.7959542638</v>
      </c>
      <c r="Q11" s="107">
        <f t="shared" si="3"/>
        <v>6211860.218623546</v>
      </c>
      <c r="R11" s="107">
        <f t="shared" si="3"/>
        <v>6259977.7676176624</v>
      </c>
      <c r="S11" s="107">
        <f t="shared" si="3"/>
        <v>6297402.52794642</v>
      </c>
      <c r="T11" s="107">
        <f t="shared" si="3"/>
        <v>6306313.185167552</v>
      </c>
      <c r="U11" s="11"/>
    </row>
    <row r="12" spans="1:21" s="11" customFormat="1" ht="12">
      <c r="A12" s="37" t="s">
        <v>48</v>
      </c>
      <c r="B12" s="101" t="s">
        <v>78</v>
      </c>
      <c r="C12" s="253" t="s">
        <v>0</v>
      </c>
      <c r="D12" s="254"/>
      <c r="E12" s="19">
        <f t="shared" ref="E12:T12" si="4">E13+E15+E23</f>
        <v>2080360.5829796337</v>
      </c>
      <c r="F12" s="19">
        <f t="shared" si="4"/>
        <v>2079290.9254788058</v>
      </c>
      <c r="G12" s="19">
        <f t="shared" si="4"/>
        <v>2097274.2518705465</v>
      </c>
      <c r="H12" s="19">
        <f t="shared" si="4"/>
        <v>2113769.1624755226</v>
      </c>
      <c r="I12" s="19">
        <f t="shared" si="4"/>
        <v>2131752.4888672633</v>
      </c>
      <c r="J12" s="19">
        <f t="shared" si="4"/>
        <v>2149735.815259004</v>
      </c>
      <c r="K12" s="19">
        <f t="shared" si="4"/>
        <v>2153891.6511399793</v>
      </c>
      <c r="L12" s="19">
        <f t="shared" si="4"/>
        <v>2163925.3789780959</v>
      </c>
      <c r="M12" s="19">
        <f t="shared" si="4"/>
        <v>2181908.7053698367</v>
      </c>
      <c r="N12" s="19">
        <f t="shared" si="4"/>
        <v>2103980.9576722938</v>
      </c>
      <c r="O12" s="19">
        <f t="shared" si="4"/>
        <v>2121964.2840640345</v>
      </c>
      <c r="P12" s="19">
        <f t="shared" si="4"/>
        <v>2139947.6104557752</v>
      </c>
      <c r="Q12" s="19">
        <f t="shared" si="4"/>
        <v>2129671.4239462093</v>
      </c>
      <c r="R12" s="19">
        <f t="shared" si="4"/>
        <v>2152792.8435927327</v>
      </c>
      <c r="S12" s="19">
        <f t="shared" si="4"/>
        <v>2170776.1699844734</v>
      </c>
      <c r="T12" s="19">
        <f t="shared" si="4"/>
        <v>2175057.9143634592</v>
      </c>
    </row>
    <row r="13" spans="1:21" s="1" customFormat="1" ht="12">
      <c r="A13" s="82" t="s">
        <v>55</v>
      </c>
      <c r="B13" s="93" t="s">
        <v>207</v>
      </c>
      <c r="C13" s="175" t="s">
        <v>0</v>
      </c>
      <c r="D13" s="252"/>
      <c r="E13" s="20">
        <f>E14</f>
        <v>182831.56</v>
      </c>
      <c r="F13" s="20">
        <f t="shared" ref="F13:T13" si="5">F14</f>
        <v>182831.56</v>
      </c>
      <c r="G13" s="20">
        <f t="shared" si="5"/>
        <v>182831.56</v>
      </c>
      <c r="H13" s="20">
        <f t="shared" si="5"/>
        <v>182831.56</v>
      </c>
      <c r="I13" s="20">
        <f t="shared" si="5"/>
        <v>182831.56</v>
      </c>
      <c r="J13" s="20">
        <f t="shared" si="5"/>
        <v>182831.56</v>
      </c>
      <c r="K13" s="20">
        <f t="shared" si="5"/>
        <v>182831.56</v>
      </c>
      <c r="L13" s="20">
        <f t="shared" si="5"/>
        <v>182831.56</v>
      </c>
      <c r="M13" s="20">
        <f t="shared" si="5"/>
        <v>182831.56</v>
      </c>
      <c r="N13" s="20">
        <f t="shared" si="5"/>
        <v>182831.56</v>
      </c>
      <c r="O13" s="20">
        <f t="shared" si="5"/>
        <v>182831.56</v>
      </c>
      <c r="P13" s="20">
        <f t="shared" si="5"/>
        <v>182831.56</v>
      </c>
      <c r="Q13" s="20">
        <f t="shared" si="5"/>
        <v>182831.56</v>
      </c>
      <c r="R13" s="20">
        <f t="shared" si="5"/>
        <v>182831.56</v>
      </c>
      <c r="S13" s="20">
        <f t="shared" si="5"/>
        <v>182831.56</v>
      </c>
      <c r="T13" s="20">
        <f t="shared" si="5"/>
        <v>182831.56</v>
      </c>
    </row>
    <row r="14" spans="1:21" s="1" customFormat="1" ht="12">
      <c r="A14" s="82"/>
      <c r="B14" s="93" t="s">
        <v>229</v>
      </c>
      <c r="C14" s="175"/>
      <c r="D14" s="252"/>
      <c r="E14" s="20">
        <f>Założenia!D233*Założenia!D255*Założenia!$E$166*Założenia!$E$154+Założenia!D243*Założenia!D258*Założenia!$E$167*Założenia!$E$154</f>
        <v>182831.56</v>
      </c>
      <c r="F14" s="20">
        <f>Założenia!E233*Założenia!E255*Założenia!$E$166*Założenia!$E$154+Założenia!E243*Założenia!E258*Założenia!$E$167*Założenia!$E$154</f>
        <v>182831.56</v>
      </c>
      <c r="G14" s="20">
        <f>Założenia!F233*Założenia!F255*Założenia!$E$166*Założenia!$E$154+Założenia!F243*Założenia!F258*Założenia!$E$167*Założenia!$E$154</f>
        <v>182831.56</v>
      </c>
      <c r="H14" s="20">
        <f>Założenia!G233*Założenia!G255*Założenia!$E$166*Założenia!$E$154+Założenia!G243*Założenia!G258*Założenia!$E$167*Założenia!$E$154</f>
        <v>182831.56</v>
      </c>
      <c r="I14" s="20">
        <f>Założenia!H233*Założenia!H255*Założenia!$E$166*Założenia!$E$154+Założenia!H243*Założenia!H258*Założenia!$E$167*Założenia!$E$154</f>
        <v>182831.56</v>
      </c>
      <c r="J14" s="20">
        <f>Założenia!I233*Założenia!I255*Założenia!$E$166*Założenia!$E$154+Założenia!I243*Założenia!I258*Założenia!$E$167*Założenia!$E$154</f>
        <v>182831.56</v>
      </c>
      <c r="K14" s="20">
        <f>Założenia!J233*Założenia!J255*Założenia!$E$166*Założenia!$E$154+Założenia!J243*Założenia!J258*Założenia!$E$167*Założenia!$E$154</f>
        <v>182831.56</v>
      </c>
      <c r="L14" s="20">
        <f>Założenia!K233*Założenia!K255*Założenia!$E$166*Założenia!$E$154+Założenia!K243*Założenia!K258*Założenia!$E$167*Założenia!$E$154</f>
        <v>182831.56</v>
      </c>
      <c r="M14" s="20">
        <f>Założenia!L233*Założenia!L255*Założenia!$E$166*Założenia!$E$154+Założenia!L243*Założenia!L258*Założenia!$E$167*Założenia!$E$154</f>
        <v>182831.56</v>
      </c>
      <c r="N14" s="20">
        <f>Założenia!M233*Założenia!M255*Założenia!$E$166*Założenia!$E$154+Założenia!M243*Założenia!M258*Założenia!$E$167*Założenia!$E$154</f>
        <v>182831.56</v>
      </c>
      <c r="O14" s="20">
        <f>Założenia!N233*Założenia!N255*Założenia!$E$166*Założenia!$E$154+Założenia!N243*Założenia!N258*Założenia!$E$167*Założenia!$E$154</f>
        <v>182831.56</v>
      </c>
      <c r="P14" s="20">
        <f>Założenia!O233*Założenia!O255*Założenia!$E$166*Założenia!$E$154+Założenia!O243*Założenia!O258*Założenia!$E$167*Założenia!$E$154</f>
        <v>182831.56</v>
      </c>
      <c r="Q14" s="20">
        <f>Założenia!P233*Założenia!P255*Założenia!$E$166*Założenia!$E$154+Założenia!P243*Założenia!P258*Założenia!$E$167*Założenia!$E$154</f>
        <v>182831.56</v>
      </c>
      <c r="R14" s="20">
        <f>Założenia!Q233*Założenia!Q255*Założenia!$E$166*Założenia!$E$154+Założenia!Q243*Założenia!Q258*Założenia!$E$167*Założenia!$E$154</f>
        <v>182831.56</v>
      </c>
      <c r="S14" s="20">
        <f>Założenia!R233*Założenia!R255*Założenia!$E$166*Założenia!$E$154+Założenia!R243*Założenia!R258*Założenia!$E$167*Założenia!$E$154</f>
        <v>182831.56</v>
      </c>
      <c r="T14" s="20">
        <f>Założenia!S233*Założenia!S255*Założenia!$E$166*Założenia!$E$154+Założenia!S243*Założenia!S258*Założenia!$E$167*Założenia!$E$154</f>
        <v>182831.56</v>
      </c>
    </row>
    <row r="15" spans="1:21" s="1" customFormat="1" ht="12">
      <c r="A15" s="82" t="s">
        <v>56</v>
      </c>
      <c r="B15" s="93" t="s">
        <v>206</v>
      </c>
      <c r="C15" s="175" t="s">
        <v>0</v>
      </c>
      <c r="D15" s="252"/>
      <c r="E15" s="20">
        <f>E16</f>
        <v>1460540.8616844919</v>
      </c>
      <c r="F15" s="20">
        <f t="shared" ref="F15:T15" si="6">F16</f>
        <v>1446019.8568094918</v>
      </c>
      <c r="G15" s="20">
        <f t="shared" si="6"/>
        <v>1446019.8568094918</v>
      </c>
      <c r="H15" s="20">
        <f t="shared" si="6"/>
        <v>1444531.4410227272</v>
      </c>
      <c r="I15" s="20">
        <f t="shared" si="6"/>
        <v>1444531.4410227272</v>
      </c>
      <c r="J15" s="20">
        <f t="shared" si="6"/>
        <v>1444531.4410227272</v>
      </c>
      <c r="K15" s="20">
        <f t="shared" si="6"/>
        <v>1430703.9505119617</v>
      </c>
      <c r="L15" s="20">
        <f t="shared" si="6"/>
        <v>1437312.2828468899</v>
      </c>
      <c r="M15" s="20">
        <f t="shared" si="6"/>
        <v>1437312.2828468899</v>
      </c>
      <c r="N15" s="20">
        <f t="shared" si="6"/>
        <v>1437312.2828468899</v>
      </c>
      <c r="O15" s="20">
        <f t="shared" si="6"/>
        <v>1437312.2828468899</v>
      </c>
      <c r="P15" s="20">
        <f t="shared" si="6"/>
        <v>1437312.2828468899</v>
      </c>
      <c r="Q15" s="20">
        <f t="shared" si="6"/>
        <v>1437312.2828468899</v>
      </c>
      <c r="R15" s="20">
        <f t="shared" si="6"/>
        <v>1437312.2828468899</v>
      </c>
      <c r="S15" s="20">
        <f t="shared" si="6"/>
        <v>1437312.2828468899</v>
      </c>
      <c r="T15" s="20">
        <f t="shared" si="6"/>
        <v>1437312.2828468899</v>
      </c>
    </row>
    <row r="16" spans="1:21" s="1" customFormat="1" ht="12">
      <c r="A16" s="82" t="s">
        <v>321</v>
      </c>
      <c r="B16" s="93" t="s">
        <v>314</v>
      </c>
      <c r="C16" s="175"/>
      <c r="D16" s="252"/>
      <c r="E16" s="20">
        <f>SUM(E17:E22)</f>
        <v>1460540.8616844919</v>
      </c>
      <c r="F16" s="20">
        <f t="shared" ref="F16:T16" si="7">SUM(F17:F22)</f>
        <v>1446019.8568094918</v>
      </c>
      <c r="G16" s="20">
        <f t="shared" si="7"/>
        <v>1446019.8568094918</v>
      </c>
      <c r="H16" s="20">
        <f t="shared" si="7"/>
        <v>1444531.4410227272</v>
      </c>
      <c r="I16" s="20">
        <f t="shared" si="7"/>
        <v>1444531.4410227272</v>
      </c>
      <c r="J16" s="20">
        <f t="shared" si="7"/>
        <v>1444531.4410227272</v>
      </c>
      <c r="K16" s="20">
        <f t="shared" si="7"/>
        <v>1430703.9505119617</v>
      </c>
      <c r="L16" s="20">
        <f t="shared" si="7"/>
        <v>1437312.2828468899</v>
      </c>
      <c r="M16" s="20">
        <f t="shared" si="7"/>
        <v>1437312.2828468899</v>
      </c>
      <c r="N16" s="20">
        <f t="shared" si="7"/>
        <v>1437312.2828468899</v>
      </c>
      <c r="O16" s="20">
        <f t="shared" si="7"/>
        <v>1437312.2828468899</v>
      </c>
      <c r="P16" s="20">
        <f t="shared" si="7"/>
        <v>1437312.2828468899</v>
      </c>
      <c r="Q16" s="20">
        <f t="shared" si="7"/>
        <v>1437312.2828468899</v>
      </c>
      <c r="R16" s="20">
        <f t="shared" si="7"/>
        <v>1437312.2828468899</v>
      </c>
      <c r="S16" s="20">
        <f t="shared" si="7"/>
        <v>1437312.2828468899</v>
      </c>
      <c r="T16" s="20">
        <f t="shared" si="7"/>
        <v>1437312.2828468899</v>
      </c>
    </row>
    <row r="17" spans="1:20" s="1" customFormat="1" ht="12">
      <c r="A17" s="82"/>
      <c r="B17" s="93" t="s">
        <v>361</v>
      </c>
      <c r="C17" s="175" t="s">
        <v>0</v>
      </c>
      <c r="D17" s="252"/>
      <c r="E17" s="20">
        <f>(Założenia!D224*Założenia!D$253*Założenia!$E51/100+Założenia!D236*Założenia!D$257*Założenia!$G51/100)*Założenia!$E$153</f>
        <v>0</v>
      </c>
      <c r="F17" s="20">
        <f>(Założenia!E224*Założenia!E$253*Założenia!$E51/100+Założenia!E236*Założenia!E$257*Założenia!$G51/100)*Założenia!$E$153</f>
        <v>0</v>
      </c>
      <c r="G17" s="20">
        <f>(Założenia!F224*Założenia!F$253*Założenia!$E51/100+Założenia!F236*Założenia!F$257*Założenia!$G51/100)*Założenia!$E$153</f>
        <v>0</v>
      </c>
      <c r="H17" s="20">
        <f>(Założenia!G224*Założenia!G$253*Założenia!$E51/100+Założenia!G236*Założenia!G$257*Założenia!$G51/100)*Założenia!$E$153</f>
        <v>0</v>
      </c>
      <c r="I17" s="20">
        <f>(Założenia!H224*Założenia!H$253*Założenia!$E51/100+Założenia!H236*Założenia!H$257*Założenia!$G51/100)*Założenia!$E$153</f>
        <v>0</v>
      </c>
      <c r="J17" s="20">
        <f>(Założenia!I224*Założenia!I$253*Założenia!$E51/100+Założenia!I236*Założenia!I$257*Założenia!$G51/100)*Założenia!$E$153</f>
        <v>0</v>
      </c>
      <c r="K17" s="20">
        <f>(Założenia!J224*Założenia!J$253*Założenia!$E51/100+Założenia!J236*Założenia!J$257*Założenia!$G51/100)*Założenia!$E$153</f>
        <v>0</v>
      </c>
      <c r="L17" s="20">
        <f>(Założenia!K224*Założenia!K$253*Założenia!$E51/100+Założenia!K236*Założenia!K$257*Założenia!$G51/100)*Założenia!$E$153</f>
        <v>0</v>
      </c>
      <c r="M17" s="20">
        <f>(Założenia!L224*Założenia!L$253*Założenia!$E51/100+Założenia!L236*Założenia!L$257*Założenia!$G51/100)*Założenia!$E$153</f>
        <v>0</v>
      </c>
      <c r="N17" s="20">
        <f>(Założenia!M224*Założenia!M$253*Założenia!$E51/100+Założenia!M236*Założenia!M$257*Założenia!$G51/100)*Założenia!$E$153</f>
        <v>0</v>
      </c>
      <c r="O17" s="20">
        <f>(Założenia!N224*Założenia!N$253*Założenia!$E51/100+Założenia!N236*Założenia!N$257*Założenia!$G51/100)*Założenia!$E$153</f>
        <v>0</v>
      </c>
      <c r="P17" s="20">
        <f>(Założenia!O224*Założenia!O$253*Założenia!$E51/100+Założenia!O236*Założenia!O$257*Założenia!$G51/100)*Założenia!$E$153</f>
        <v>0</v>
      </c>
      <c r="Q17" s="20">
        <f>(Założenia!P224*Założenia!P$253*Założenia!$E51/100+Założenia!P236*Założenia!P$257*Założenia!$G51/100)*Założenia!$E$153</f>
        <v>0</v>
      </c>
      <c r="R17" s="20">
        <f>(Założenia!Q224*Założenia!Q$253*Założenia!$E51/100+Założenia!Q236*Założenia!Q$257*Założenia!$G51/100)*Założenia!$E$153</f>
        <v>0</v>
      </c>
      <c r="S17" s="20">
        <f>(Założenia!R224*Założenia!R$253*Założenia!$E51/100+Założenia!R236*Założenia!R$257*Założenia!$G51/100)*Założenia!$E$153</f>
        <v>0</v>
      </c>
      <c r="T17" s="20">
        <f>(Założenia!S224*Założenia!S$253*Założenia!$E51/100+Założenia!S236*Założenia!S$257*Założenia!$G51/100)*Założenia!$E$153</f>
        <v>0</v>
      </c>
    </row>
    <row r="18" spans="1:20" s="1" customFormat="1" ht="12">
      <c r="A18" s="82"/>
      <c r="B18" s="93" t="s">
        <v>362</v>
      </c>
      <c r="C18" s="175" t="s">
        <v>0</v>
      </c>
      <c r="D18" s="252"/>
      <c r="E18" s="20">
        <f>(Założenia!D225*Założenia!D$253*Założenia!$E52/100+Założenia!D237*Założenia!D$257*Założenia!$G52/100)*Założenia!$E$153</f>
        <v>0</v>
      </c>
      <c r="F18" s="20">
        <f>(Założenia!E225*Założenia!E$253*Założenia!$E52/100+Założenia!E237*Założenia!E$257*Założenia!$G52/100)*Założenia!$E$153</f>
        <v>0</v>
      </c>
      <c r="G18" s="20">
        <f>(Założenia!F225*Założenia!F$253*Założenia!$E52/100+Założenia!F237*Założenia!F$257*Założenia!$G52/100)*Założenia!$E$153</f>
        <v>0</v>
      </c>
      <c r="H18" s="20">
        <f>(Założenia!G225*Założenia!G$253*Założenia!$E52/100+Założenia!G237*Założenia!G$257*Założenia!$G52/100)*Założenia!$E$153</f>
        <v>0</v>
      </c>
      <c r="I18" s="20">
        <f>(Założenia!H225*Założenia!H$253*Założenia!$E52/100+Założenia!H237*Założenia!H$257*Założenia!$G52/100)*Założenia!$E$153</f>
        <v>0</v>
      </c>
      <c r="J18" s="20">
        <f>(Założenia!I225*Założenia!I$253*Założenia!$E52/100+Założenia!I237*Założenia!I$257*Założenia!$G52/100)*Założenia!$E$153</f>
        <v>0</v>
      </c>
      <c r="K18" s="20">
        <f>(Założenia!J225*Założenia!J$253*Założenia!$E52/100+Założenia!J237*Założenia!J$257*Założenia!$G52/100)*Założenia!$E$153</f>
        <v>0</v>
      </c>
      <c r="L18" s="20">
        <f>(Założenia!K225*Założenia!K$253*Założenia!$E52/100+Założenia!K237*Założenia!K$257*Założenia!$G52/100)*Założenia!$E$153</f>
        <v>0</v>
      </c>
      <c r="M18" s="20">
        <f>(Założenia!L225*Założenia!L$253*Założenia!$E52/100+Założenia!L237*Założenia!L$257*Założenia!$G52/100)*Założenia!$E$153</f>
        <v>0</v>
      </c>
      <c r="N18" s="20">
        <f>(Założenia!M225*Założenia!M$253*Założenia!$E52/100+Założenia!M237*Założenia!M$257*Założenia!$G52/100)*Założenia!$E$153</f>
        <v>0</v>
      </c>
      <c r="O18" s="20">
        <f>(Założenia!N225*Założenia!N$253*Założenia!$E52/100+Założenia!N237*Założenia!N$257*Założenia!$G52/100)*Założenia!$E$153</f>
        <v>0</v>
      </c>
      <c r="P18" s="20">
        <f>(Założenia!O225*Założenia!O$253*Założenia!$E52/100+Założenia!O237*Założenia!O$257*Założenia!$G52/100)*Założenia!$E$153</f>
        <v>0</v>
      </c>
      <c r="Q18" s="20">
        <f>(Założenia!P225*Założenia!P$253*Założenia!$E52/100+Założenia!P237*Założenia!P$257*Założenia!$G52/100)*Założenia!$E$153</f>
        <v>0</v>
      </c>
      <c r="R18" s="20">
        <f>(Założenia!Q225*Założenia!Q$253*Założenia!$E52/100+Założenia!Q237*Założenia!Q$257*Założenia!$G52/100)*Założenia!$E$153</f>
        <v>0</v>
      </c>
      <c r="S18" s="20">
        <f>(Założenia!R225*Założenia!R$253*Założenia!$E52/100+Założenia!R237*Założenia!R$257*Założenia!$G52/100)*Założenia!$E$153</f>
        <v>0</v>
      </c>
      <c r="T18" s="20">
        <f>(Założenia!S225*Założenia!S$253*Założenia!$E52/100+Założenia!S237*Założenia!S$257*Założenia!$G52/100)*Założenia!$E$153</f>
        <v>0</v>
      </c>
    </row>
    <row r="19" spans="1:20" s="1" customFormat="1" ht="12">
      <c r="A19" s="82"/>
      <c r="B19" s="93" t="s">
        <v>363</v>
      </c>
      <c r="C19" s="175" t="s">
        <v>0</v>
      </c>
      <c r="D19" s="252"/>
      <c r="E19" s="20">
        <f>(Założenia!D226*Założenia!D$253*Założenia!$E53/100+Założenia!D238*Założenia!D$257*Założenia!$G53/100)*Założenia!$E$153</f>
        <v>0</v>
      </c>
      <c r="F19" s="20">
        <f>(Założenia!E226*Założenia!E$253*Założenia!$E53/100+Założenia!E238*Założenia!E$257*Założenia!$G53/100)*Założenia!$E$153</f>
        <v>0</v>
      </c>
      <c r="G19" s="20">
        <f>(Założenia!F226*Założenia!F$253*Założenia!$E53/100+Założenia!F238*Założenia!F$257*Założenia!$G53/100)*Założenia!$E$153</f>
        <v>0</v>
      </c>
      <c r="H19" s="20">
        <f>(Założenia!G226*Założenia!G$253*Założenia!$E53/100+Założenia!G238*Założenia!G$257*Założenia!$G53/100)*Założenia!$E$153</f>
        <v>0</v>
      </c>
      <c r="I19" s="20">
        <f>(Założenia!H226*Założenia!H$253*Założenia!$E53/100+Założenia!H238*Założenia!H$257*Założenia!$G53/100)*Założenia!$E$153</f>
        <v>0</v>
      </c>
      <c r="J19" s="20">
        <f>(Założenia!I226*Założenia!I$253*Założenia!$E53/100+Założenia!I238*Założenia!I$257*Założenia!$G53/100)*Założenia!$E$153</f>
        <v>0</v>
      </c>
      <c r="K19" s="20">
        <f>(Założenia!J226*Założenia!J$253*Założenia!$E53/100+Założenia!J238*Założenia!J$257*Założenia!$G53/100)*Założenia!$E$153</f>
        <v>0</v>
      </c>
      <c r="L19" s="20">
        <f>(Założenia!K226*Założenia!K$253*Założenia!$E53/100+Założenia!K238*Założenia!K$257*Założenia!$G53/100)*Założenia!$E$153</f>
        <v>0</v>
      </c>
      <c r="M19" s="20">
        <f>(Założenia!L226*Założenia!L$253*Założenia!$E53/100+Założenia!L238*Założenia!L$257*Założenia!$G53/100)*Założenia!$E$153</f>
        <v>0</v>
      </c>
      <c r="N19" s="20">
        <f>(Założenia!M226*Założenia!M$253*Założenia!$E53/100+Założenia!M238*Założenia!M$257*Założenia!$G53/100)*Założenia!$E$153</f>
        <v>0</v>
      </c>
      <c r="O19" s="20">
        <f>(Założenia!N226*Założenia!N$253*Założenia!$E53/100+Założenia!N238*Założenia!N$257*Założenia!$G53/100)*Założenia!$E$153</f>
        <v>0</v>
      </c>
      <c r="P19" s="20">
        <f>(Założenia!O226*Założenia!O$253*Założenia!$E53/100+Założenia!O238*Założenia!O$257*Założenia!$G53/100)*Założenia!$E$153</f>
        <v>0</v>
      </c>
      <c r="Q19" s="20">
        <f>(Założenia!P226*Założenia!P$253*Założenia!$E53/100+Założenia!P238*Założenia!P$257*Założenia!$G53/100)*Założenia!$E$153</f>
        <v>0</v>
      </c>
      <c r="R19" s="20">
        <f>(Założenia!Q226*Założenia!Q$253*Założenia!$E53/100+Założenia!Q238*Założenia!Q$257*Założenia!$G53/100)*Założenia!$E$153</f>
        <v>0</v>
      </c>
      <c r="S19" s="20">
        <f>(Założenia!R226*Założenia!R$253*Założenia!$E53/100+Założenia!R238*Założenia!R$257*Założenia!$G53/100)*Założenia!$E$153</f>
        <v>0</v>
      </c>
      <c r="T19" s="20">
        <f>(Założenia!S226*Założenia!S$253*Założenia!$E53/100+Założenia!S238*Założenia!S$257*Założenia!$G53/100)*Założenia!$E$153</f>
        <v>0</v>
      </c>
    </row>
    <row r="20" spans="1:20" s="1" customFormat="1" ht="12">
      <c r="A20" s="82"/>
      <c r="B20" s="93" t="s">
        <v>364</v>
      </c>
      <c r="C20" s="175" t="s">
        <v>0</v>
      </c>
      <c r="D20" s="252"/>
      <c r="E20" s="20">
        <f>(Założenia!D227*Założenia!D$253*Założenia!$E54/100+Założenia!D239*Założenia!D$257*Założenia!$G54/100)*Założenia!$E$153</f>
        <v>0</v>
      </c>
      <c r="F20" s="20">
        <f>(Założenia!E227*Założenia!E$253*Założenia!$E54/100+Założenia!E239*Założenia!E$257*Założenia!$G54/100)*Założenia!$E$153</f>
        <v>0</v>
      </c>
      <c r="G20" s="20">
        <f>(Założenia!F227*Założenia!F$253*Założenia!$E54/100+Założenia!F239*Założenia!F$257*Założenia!$G54/100)*Założenia!$E$153</f>
        <v>0</v>
      </c>
      <c r="H20" s="20">
        <f>(Założenia!G227*Założenia!G$253*Założenia!$E54/100+Założenia!G239*Założenia!G$257*Założenia!$G54/100)*Założenia!$E$153</f>
        <v>0</v>
      </c>
      <c r="I20" s="20">
        <f>(Założenia!H227*Założenia!H$253*Założenia!$E54/100+Założenia!H239*Założenia!H$257*Założenia!$G54/100)*Założenia!$E$153</f>
        <v>0</v>
      </c>
      <c r="J20" s="20">
        <f>(Założenia!I227*Założenia!I$253*Założenia!$E54/100+Założenia!I239*Założenia!I$257*Założenia!$G54/100)*Założenia!$E$153</f>
        <v>0</v>
      </c>
      <c r="K20" s="20">
        <f>(Założenia!J227*Założenia!J$253*Założenia!$E54/100+Założenia!J239*Założenia!J$257*Założenia!$G54/100)*Założenia!$E$153</f>
        <v>0</v>
      </c>
      <c r="L20" s="20">
        <f>(Założenia!K227*Założenia!K$253*Założenia!$E54/100+Założenia!K239*Założenia!K$257*Założenia!$G54/100)*Założenia!$E$153</f>
        <v>0</v>
      </c>
      <c r="M20" s="20">
        <f>(Założenia!L227*Założenia!L$253*Założenia!$E54/100+Założenia!L239*Założenia!L$257*Założenia!$G54/100)*Założenia!$E$153</f>
        <v>0</v>
      </c>
      <c r="N20" s="20">
        <f>(Założenia!M227*Założenia!M$253*Założenia!$E54/100+Założenia!M239*Założenia!M$257*Założenia!$G54/100)*Założenia!$E$153</f>
        <v>0</v>
      </c>
      <c r="O20" s="20">
        <f>(Założenia!N227*Założenia!N$253*Założenia!$E54/100+Założenia!N239*Założenia!N$257*Założenia!$G54/100)*Założenia!$E$153</f>
        <v>0</v>
      </c>
      <c r="P20" s="20">
        <f>(Założenia!O227*Założenia!O$253*Założenia!$E54/100+Założenia!O239*Założenia!O$257*Założenia!$G54/100)*Założenia!$E$153</f>
        <v>0</v>
      </c>
      <c r="Q20" s="20">
        <f>(Założenia!P227*Założenia!P$253*Założenia!$E54/100+Założenia!P239*Założenia!P$257*Założenia!$G54/100)*Założenia!$E$153</f>
        <v>0</v>
      </c>
      <c r="R20" s="20">
        <f>(Założenia!Q227*Założenia!Q$253*Założenia!$E54/100+Założenia!Q239*Założenia!Q$257*Założenia!$G54/100)*Założenia!$E$153</f>
        <v>0</v>
      </c>
      <c r="S20" s="20">
        <f>(Założenia!R227*Założenia!R$253*Założenia!$E54/100+Założenia!R239*Założenia!R$257*Założenia!$G54/100)*Założenia!$E$153</f>
        <v>0</v>
      </c>
      <c r="T20" s="20">
        <f>(Założenia!S227*Założenia!S$253*Założenia!$E54/100+Założenia!S239*Założenia!S$257*Założenia!$G54/100)*Założenia!$E$153</f>
        <v>0</v>
      </c>
    </row>
    <row r="21" spans="1:20" s="1" customFormat="1" ht="12">
      <c r="A21" s="82"/>
      <c r="B21" s="93" t="s">
        <v>365</v>
      </c>
      <c r="C21" s="175" t="s">
        <v>0</v>
      </c>
      <c r="D21" s="252"/>
      <c r="E21" s="20">
        <f>(Założenia!D228*Założenia!D$253*Założenia!$E55/100+Założenia!D230*Założenia!D$253*Założenia!$E163/100+Założenia!D240*Założenia!D$257*Założenia!$G55/100)*Założenia!$E$153</f>
        <v>130747.77037433152</v>
      </c>
      <c r="F21" s="20">
        <f>(Założenia!E228*Założenia!E$253*Założenia!$E55/100+Założenia!E230*Założenia!E$253*Założenia!$E163/100+Założenia!E240*Założenia!E$257*Założenia!$G55/100)*Założenia!$E$153</f>
        <v>129008.72787433151</v>
      </c>
      <c r="G21" s="20">
        <f>(Założenia!F228*Założenia!F$253*Założenia!$E55/100+Założenia!F230*Założenia!F$253*Założenia!$E163/100+Założenia!F240*Założenia!F$257*Założenia!$G55/100)*Założenia!$E$153</f>
        <v>129008.72787433151</v>
      </c>
      <c r="H21" s="20">
        <f>(Założenia!G228*Założenia!G$253*Założenia!$E55/100+Założenia!G230*Założenia!G$253*Założenia!$E163/100+Założenia!G240*Założenia!G$257*Założenia!$G55/100)*Założenia!$E$153</f>
        <v>129315.61772727272</v>
      </c>
      <c r="I21" s="20">
        <f>(Założenia!H228*Założenia!H$253*Założenia!$E55/100+Założenia!H230*Założenia!H$253*Założenia!$E163/100+Założenia!H240*Założenia!H$257*Założenia!$G55/100)*Założenia!$E$153</f>
        <v>129315.61772727272</v>
      </c>
      <c r="J21" s="20">
        <f>(Założenia!I228*Założenia!I$253*Założenia!$E55/100+Założenia!I230*Założenia!I$253*Założenia!$E163/100+Założenia!I240*Założenia!I$257*Założenia!$G55/100)*Założenia!$E$153</f>
        <v>129315.61772727272</v>
      </c>
      <c r="K21" s="20">
        <f>(Założenia!J228*Założenia!J$253*Założenia!$E55/100+Założenia!J230*Założenia!J$253*Założenia!$E163/100+Założenia!J240*Założenia!J$257*Założenia!$G55/100)*Założenia!$E$153</f>
        <v>132166.64669856461</v>
      </c>
      <c r="L21" s="20">
        <f>(Założenia!K228*Założenia!K$253*Założenia!$E55/100+Założenia!K230*Założenia!K$253*Założenia!$E163/100+Założenia!K240*Założenia!K$257*Założenia!$G55/100)*Założenia!$E$153</f>
        <v>0</v>
      </c>
      <c r="M21" s="20">
        <f>(Założenia!L228*Założenia!L$253*Założenia!$E55/100+Założenia!L230*Założenia!L$253*Założenia!$E163/100+Założenia!L240*Założenia!L$257*Założenia!$G55/100)*Założenia!$E$153</f>
        <v>0</v>
      </c>
      <c r="N21" s="20">
        <f>(Założenia!M228*Założenia!M$253*Założenia!$E55/100+Założenia!M230*Założenia!M$253*Założenia!$E163/100+Założenia!M240*Założenia!M$257*Założenia!$G55/100)*Założenia!$E$153</f>
        <v>0</v>
      </c>
      <c r="O21" s="20">
        <f>(Założenia!N228*Założenia!N$253*Założenia!$E55/100+Założenia!N230*Założenia!N$253*Założenia!$E163/100+Założenia!N240*Założenia!N$257*Założenia!$G55/100)*Założenia!$E$153</f>
        <v>0</v>
      </c>
      <c r="P21" s="20">
        <f>(Założenia!O228*Założenia!O$253*Założenia!$E55/100+Założenia!O230*Założenia!O$253*Założenia!$E163/100+Założenia!O240*Założenia!O$257*Założenia!$G55/100)*Założenia!$E$153</f>
        <v>0</v>
      </c>
      <c r="Q21" s="20">
        <f>(Założenia!P228*Założenia!P$253*Założenia!$E55/100+Założenia!P230*Założenia!P$253*Założenia!$E163/100+Założenia!P240*Założenia!P$257*Założenia!$G55/100)*Założenia!$E$153</f>
        <v>0</v>
      </c>
      <c r="R21" s="20">
        <f>(Założenia!Q228*Założenia!Q$253*Założenia!$E55/100+Założenia!Q230*Założenia!Q$253*Założenia!$E163/100+Założenia!Q240*Założenia!Q$257*Założenia!$G55/100)*Założenia!$E$153</f>
        <v>0</v>
      </c>
      <c r="S21" s="20">
        <f>(Założenia!R228*Założenia!R$253*Założenia!$E55/100+Założenia!R230*Założenia!R$253*Założenia!$E163/100+Założenia!R240*Założenia!R$257*Założenia!$G55/100)*Założenia!$E$153</f>
        <v>0</v>
      </c>
      <c r="T21" s="20">
        <f>(Założenia!S228*Założenia!S$253*Założenia!$E55/100+Założenia!S230*Założenia!S$253*Założenia!$E163/100+Założenia!S240*Założenia!S$257*Założenia!$G55/100)*Założenia!$E$153</f>
        <v>0</v>
      </c>
    </row>
    <row r="22" spans="1:20" s="1" customFormat="1" ht="12">
      <c r="A22" s="82"/>
      <c r="B22" s="93" t="s">
        <v>367</v>
      </c>
      <c r="C22" s="175" t="s">
        <v>0</v>
      </c>
      <c r="D22" s="252"/>
      <c r="E22" s="20">
        <f>(Założenia!D229*Założenia!D$253*Założenia!$E56/100+Założenia!D231*Założenia!D$253*Założenia!$E163/100+Założenia!D241*Założenia!D$257*Założenia!$G56/100+Założenia!D242*Założenia!D$257*Założenia!$E164/100)*Założenia!$E$153</f>
        <v>1329793.0913101602</v>
      </c>
      <c r="F22" s="20">
        <f>(Założenia!E229*Założenia!E$253*Założenia!$E56/100+Założenia!E231*Założenia!E$253*Założenia!$E163/100+Założenia!E241*Założenia!E$257*Założenia!$G56/100+Założenia!E242*Założenia!E$257*Założenia!$E164/100)*Założenia!$E$153</f>
        <v>1317011.1289351603</v>
      </c>
      <c r="G22" s="20">
        <f>(Założenia!F229*Założenia!F$253*Założenia!$E56/100+Założenia!F231*Założenia!F$253*Założenia!$E163/100+Założenia!F241*Założenia!F$257*Założenia!$G56/100+Założenia!F242*Założenia!F$257*Założenia!$E164/100)*Założenia!$E$153</f>
        <v>1317011.1289351603</v>
      </c>
      <c r="H22" s="20">
        <f>(Założenia!G229*Założenia!G$253*Założenia!$E56/100+Założenia!G231*Założenia!G$253*Założenia!$E163/100+Założenia!G241*Założenia!G$257*Założenia!$G56/100+Założenia!G242*Założenia!G$257*Założenia!$E164/100)*Założenia!$E$153</f>
        <v>1315215.8232954545</v>
      </c>
      <c r="I22" s="20">
        <f>(Założenia!H229*Założenia!H$253*Założenia!$E56/100+Założenia!H231*Założenia!H$253*Założenia!$E163/100+Założenia!H241*Założenia!H$257*Założenia!$G56/100+Założenia!H242*Założenia!H$257*Założenia!$E164/100)*Założenia!$E$153</f>
        <v>1315215.8232954545</v>
      </c>
      <c r="J22" s="20">
        <f>(Założenia!I229*Założenia!I$253*Założenia!$E56/100+Założenia!I231*Założenia!I$253*Założenia!$E163/100+Założenia!I241*Założenia!I$257*Założenia!$G56/100+Założenia!I242*Założenia!I$257*Założenia!$E164/100)*Założenia!$E$153</f>
        <v>1315215.8232954545</v>
      </c>
      <c r="K22" s="20">
        <f>(Założenia!J229*Założenia!J$253*Założenia!$E56/100+Założenia!J231*Założenia!J$253*Założenia!$E163/100+Założenia!J241*Założenia!J$257*Założenia!$G56/100+Założenia!J242*Założenia!J$257*Założenia!$E164/100)*Założenia!$E$153</f>
        <v>1298537.3038133972</v>
      </c>
      <c r="L22" s="20">
        <f>(Założenia!K229*Założenia!K$253*Założenia!$E56/100+Założenia!K231*Założenia!K$253*Założenia!$E163/100+Założenia!K241*Założenia!K$257*Założenia!$G56/100+Założenia!K242*Założenia!K$257*Założenia!$E164/100)*Założenia!$E$153</f>
        <v>1437312.2828468899</v>
      </c>
      <c r="M22" s="20">
        <f>(Założenia!L229*Założenia!L$253*Założenia!$E56/100+Założenia!L231*Założenia!L$253*Założenia!$E163/100+Założenia!L241*Założenia!L$257*Założenia!$G56/100+Założenia!L242*Założenia!L$257*Założenia!$E164/100)*Założenia!$E$153</f>
        <v>1437312.2828468899</v>
      </c>
      <c r="N22" s="20">
        <f>(Założenia!M229*Założenia!M$253*Założenia!$E56/100+Założenia!M231*Założenia!M$253*Założenia!$E163/100+Założenia!M241*Założenia!M$257*Założenia!$G56/100+Założenia!M242*Założenia!M$257*Założenia!$E164/100)*Założenia!$E$153</f>
        <v>1437312.2828468899</v>
      </c>
      <c r="O22" s="20">
        <f>(Założenia!N229*Założenia!N$253*Założenia!$E56/100+Założenia!N231*Założenia!N$253*Założenia!$E163/100+Założenia!N241*Założenia!N$257*Założenia!$G56/100+Założenia!N242*Założenia!N$257*Założenia!$E164/100)*Założenia!$E$153</f>
        <v>1437312.2828468899</v>
      </c>
      <c r="P22" s="20">
        <f>(Założenia!O229*Założenia!O$253*Założenia!$E56/100+Założenia!O231*Założenia!O$253*Założenia!$E163/100+Założenia!O241*Założenia!O$257*Założenia!$G56/100+Założenia!O242*Założenia!O$257*Założenia!$E164/100)*Założenia!$E$153</f>
        <v>1437312.2828468899</v>
      </c>
      <c r="Q22" s="20">
        <f>(Założenia!P229*Założenia!P$253*Założenia!$E56/100+Założenia!P231*Założenia!P$253*Założenia!$E163/100+Założenia!P241*Założenia!P$257*Założenia!$G56/100+Założenia!P242*Założenia!P$257*Założenia!$E164/100)*Założenia!$E$153</f>
        <v>1437312.2828468899</v>
      </c>
      <c r="R22" s="20">
        <f>(Założenia!Q229*Założenia!Q$253*Założenia!$E56/100+Założenia!Q231*Założenia!Q$253*Założenia!$E163/100+Założenia!Q241*Założenia!Q$257*Założenia!$G56/100+Założenia!Q242*Założenia!Q$257*Założenia!$E164/100)*Założenia!$E$153</f>
        <v>1437312.2828468899</v>
      </c>
      <c r="S22" s="20">
        <f>(Założenia!R229*Założenia!R$253*Założenia!$E56/100+Założenia!R231*Założenia!R$253*Założenia!$E163/100+Założenia!R241*Założenia!R$257*Założenia!$G56/100+Założenia!R242*Założenia!R$257*Założenia!$E164/100)*Założenia!$E$153</f>
        <v>1437312.2828468899</v>
      </c>
      <c r="T22" s="20">
        <f>(Założenia!S229*Założenia!S$253*Założenia!$E56/100+Założenia!S231*Założenia!S$253*Założenia!$E163/100+Założenia!S241*Założenia!S$257*Założenia!$G56/100+Założenia!S242*Założenia!S$257*Założenia!$E164/100)*Założenia!$E$153</f>
        <v>1437312.2828468899</v>
      </c>
    </row>
    <row r="23" spans="1:20" s="1" customFormat="1" ht="12">
      <c r="A23" s="82" t="s">
        <v>153</v>
      </c>
      <c r="B23" s="93" t="s">
        <v>279</v>
      </c>
      <c r="C23" s="175" t="s">
        <v>0</v>
      </c>
      <c r="D23" s="252"/>
      <c r="E23" s="20">
        <f>(E24+E31)*(1+(Założenia!D259-0)*Założenia!$E$162)</f>
        <v>436988.16129514173</v>
      </c>
      <c r="F23" s="20">
        <f>(F24+F31)*(1+(Założenia!E259-0)*Założenia!$E$162)</f>
        <v>450439.50866931392</v>
      </c>
      <c r="G23" s="20">
        <f>(G24+G31)*(1+(Założenia!F259-0)*Założenia!$E$162)</f>
        <v>468422.83506105462</v>
      </c>
      <c r="H23" s="20">
        <f>(H24+H31)*(1+(Założenia!G259-0)*Założenia!$E$162)</f>
        <v>486406.16145279538</v>
      </c>
      <c r="I23" s="20">
        <f>(I24+I31)*(1+(Założenia!H259-0)*Założenia!$E$162)</f>
        <v>504389.48784453596</v>
      </c>
      <c r="J23" s="20">
        <f>(J24+J31)*(1+(Założenia!I259-0)*Założenia!$E$162)</f>
        <v>522372.81423627667</v>
      </c>
      <c r="K23" s="20">
        <f>(K24+K31)*(1+(Założenia!J259-0)*Założenia!$E$162)</f>
        <v>540356.14062801737</v>
      </c>
      <c r="L23" s="20">
        <f>(L24+L31)*(1+(Założenia!K259-0)*Założenia!$E$162)</f>
        <v>543781.53613120597</v>
      </c>
      <c r="M23" s="20">
        <f>(M24+M31)*(1+(Założenia!L259-0)*Założenia!$E$162)</f>
        <v>561764.86252294667</v>
      </c>
      <c r="N23" s="20">
        <f>(N24+N31)*(1+(Założenia!M259-0)*Założenia!$E$162)</f>
        <v>483837.11482540378</v>
      </c>
      <c r="O23" s="20">
        <f>(O24+O31)*(1+(Założenia!N259-0)*Założenia!$E$162)</f>
        <v>501820.44121714437</v>
      </c>
      <c r="P23" s="20">
        <f>(P24+P31)*(1+(Założenia!O259-0)*Założenia!$E$162)</f>
        <v>519803.76760888507</v>
      </c>
      <c r="Q23" s="20">
        <f>(Q24+Q31)*(1+(Założenia!P259-0)*Założenia!$E$162)</f>
        <v>509527.58109931904</v>
      </c>
      <c r="R23" s="20">
        <f>(R24+R31)*(1+(Założenia!Q259-0)*Założenia!$E$162)</f>
        <v>532649.0007458427</v>
      </c>
      <c r="S23" s="20">
        <f>(S24+S31)*(1+(Założenia!R259-0)*Założenia!$E$162)</f>
        <v>550632.32713758328</v>
      </c>
      <c r="T23" s="20">
        <f>(T24+T31)*(1+(Założenia!S259-0)*Założenia!$E$162)</f>
        <v>554914.07151656924</v>
      </c>
    </row>
    <row r="24" spans="1:20" s="1" customFormat="1" ht="12">
      <c r="A24" s="82"/>
      <c r="B24" s="93" t="s">
        <v>314</v>
      </c>
      <c r="C24" s="175" t="s">
        <v>0</v>
      </c>
      <c r="D24" s="252"/>
      <c r="E24" s="20">
        <f>SUM(E25:E30)</f>
        <v>343935.32218002866</v>
      </c>
      <c r="F24" s="20">
        <f t="shared" ref="F24:T24" si="8">SUM(F25:F30)</f>
        <v>340166.15151195187</v>
      </c>
      <c r="G24" s="20">
        <f t="shared" si="8"/>
        <v>340166.15151195187</v>
      </c>
      <c r="H24" s="20">
        <f t="shared" si="8"/>
        <v>340166.15151195193</v>
      </c>
      <c r="I24" s="20">
        <f t="shared" si="8"/>
        <v>340166.15151195193</v>
      </c>
      <c r="J24" s="20">
        <f t="shared" si="8"/>
        <v>340166.15151195193</v>
      </c>
      <c r="K24" s="20">
        <f t="shared" si="8"/>
        <v>340166.15151195193</v>
      </c>
      <c r="L24" s="20">
        <f t="shared" si="8"/>
        <v>340166.15151195187</v>
      </c>
      <c r="M24" s="20">
        <f t="shared" si="8"/>
        <v>340166.15151195187</v>
      </c>
      <c r="N24" s="20">
        <f t="shared" si="8"/>
        <v>340166.15151195187</v>
      </c>
      <c r="O24" s="20">
        <f t="shared" si="8"/>
        <v>340166.15151195187</v>
      </c>
      <c r="P24" s="20">
        <f t="shared" si="8"/>
        <v>340166.15151195187</v>
      </c>
      <c r="Q24" s="20">
        <f t="shared" si="8"/>
        <v>340166.15151195187</v>
      </c>
      <c r="R24" s="20">
        <f t="shared" si="8"/>
        <v>340166.15151195187</v>
      </c>
      <c r="S24" s="20">
        <f t="shared" si="8"/>
        <v>340166.15151195187</v>
      </c>
      <c r="T24" s="20">
        <f t="shared" si="8"/>
        <v>340166.15151195187</v>
      </c>
    </row>
    <row r="25" spans="1:20" s="1" customFormat="1" ht="12">
      <c r="A25" s="82"/>
      <c r="B25" s="93" t="s">
        <v>361</v>
      </c>
      <c r="C25" s="175" t="s">
        <v>0</v>
      </c>
      <c r="D25" s="252"/>
      <c r="E25" s="20">
        <f>(Założenia!D224*Założenia!D$253+Założenia!D236*Założenia!D$257)*Założenia!$E$157</f>
        <v>0</v>
      </c>
      <c r="F25" s="20">
        <f>(Założenia!E224*Założenia!E$253+Założenia!E236*Założenia!E$257)*Założenia!$E$157</f>
        <v>0</v>
      </c>
      <c r="G25" s="20">
        <f>(Założenia!F224*Założenia!F$253+Założenia!F236*Założenia!F$257)*Założenia!$E$157</f>
        <v>0</v>
      </c>
      <c r="H25" s="20">
        <f>(Założenia!G224*Założenia!G$253+Założenia!G236*Założenia!G$257)*Założenia!$E$157</f>
        <v>0</v>
      </c>
      <c r="I25" s="20">
        <f>(Założenia!H224*Założenia!H$253+Założenia!H236*Założenia!H$257)*Założenia!$E$157</f>
        <v>0</v>
      </c>
      <c r="J25" s="20">
        <f>(Założenia!I224*Założenia!I$253+Założenia!I236*Założenia!I$257)*Założenia!$E$157</f>
        <v>0</v>
      </c>
      <c r="K25" s="20">
        <f>(Założenia!J224*Założenia!J$253+Założenia!J236*Założenia!J$257)*Założenia!$E$157</f>
        <v>0</v>
      </c>
      <c r="L25" s="20">
        <f>(Założenia!K224*Założenia!K$253+Założenia!K236*Założenia!K$257)*Założenia!$E$157</f>
        <v>0</v>
      </c>
      <c r="M25" s="20">
        <f>(Założenia!L224*Założenia!L$253+Założenia!L236*Założenia!L$257)*Założenia!$E$157</f>
        <v>0</v>
      </c>
      <c r="N25" s="20">
        <f>(Założenia!M224*Założenia!M$253+Założenia!M236*Założenia!M$257)*Założenia!$E$157</f>
        <v>0</v>
      </c>
      <c r="O25" s="20">
        <f>(Założenia!N224*Założenia!N$253+Założenia!N236*Założenia!N$257)*Założenia!$E$157</f>
        <v>0</v>
      </c>
      <c r="P25" s="20">
        <f>(Założenia!O224*Założenia!O$253+Założenia!O236*Założenia!O$257)*Założenia!$E$157</f>
        <v>0</v>
      </c>
      <c r="Q25" s="20">
        <f>(Założenia!P224*Założenia!P$253+Założenia!P236*Założenia!P$257)*Założenia!$E$157</f>
        <v>0</v>
      </c>
      <c r="R25" s="20">
        <f>(Założenia!Q224*Założenia!Q$253+Założenia!Q236*Założenia!Q$257)*Założenia!$E$157</f>
        <v>0</v>
      </c>
      <c r="S25" s="20">
        <f>(Założenia!R224*Założenia!R$253+Założenia!R236*Założenia!R$257)*Założenia!$E$157</f>
        <v>0</v>
      </c>
      <c r="T25" s="20">
        <f>(Założenia!S224*Założenia!S$253+Założenia!S236*Założenia!S$257)*Założenia!$E$157</f>
        <v>0</v>
      </c>
    </row>
    <row r="26" spans="1:20" s="1" customFormat="1" ht="12">
      <c r="A26" s="82"/>
      <c r="B26" s="93" t="s">
        <v>362</v>
      </c>
      <c r="C26" s="175" t="s">
        <v>0</v>
      </c>
      <c r="D26" s="252"/>
      <c r="E26" s="20">
        <f>(Założenia!D225*Założenia!D$253+Założenia!D237*Założenia!D$257)*Założenia!$E$157</f>
        <v>0</v>
      </c>
      <c r="F26" s="20">
        <f>(Założenia!E225*Założenia!E$253+Założenia!E237*Założenia!E$257)*Założenia!$E$157</f>
        <v>0</v>
      </c>
      <c r="G26" s="20">
        <f>(Założenia!F225*Założenia!F$253+Założenia!F237*Założenia!F$257)*Założenia!$E$157</f>
        <v>0</v>
      </c>
      <c r="H26" s="20">
        <f>(Założenia!G225*Założenia!G$253+Założenia!G237*Założenia!G$257)*Założenia!$E$157</f>
        <v>0</v>
      </c>
      <c r="I26" s="20">
        <f>(Założenia!H225*Założenia!H$253+Założenia!H237*Założenia!H$257)*Założenia!$E$157</f>
        <v>0</v>
      </c>
      <c r="J26" s="20">
        <f>(Założenia!I225*Założenia!I$253+Założenia!I237*Założenia!I$257)*Założenia!$E$157</f>
        <v>0</v>
      </c>
      <c r="K26" s="20">
        <f>(Założenia!J225*Założenia!J$253+Założenia!J237*Założenia!J$257)*Założenia!$E$157</f>
        <v>0</v>
      </c>
      <c r="L26" s="20">
        <f>(Założenia!K225*Założenia!K$253+Założenia!K237*Założenia!K$257)*Założenia!$E$157</f>
        <v>0</v>
      </c>
      <c r="M26" s="20">
        <f>(Założenia!L225*Założenia!L$253+Założenia!L237*Założenia!L$257)*Założenia!$E$157</f>
        <v>0</v>
      </c>
      <c r="N26" s="20">
        <f>(Założenia!M225*Założenia!M$253+Założenia!M237*Założenia!M$257)*Założenia!$E$157</f>
        <v>0</v>
      </c>
      <c r="O26" s="20">
        <f>(Założenia!N225*Założenia!N$253+Założenia!N237*Założenia!N$257)*Założenia!$E$157</f>
        <v>0</v>
      </c>
      <c r="P26" s="20">
        <f>(Założenia!O225*Założenia!O$253+Założenia!O237*Założenia!O$257)*Założenia!$E$157</f>
        <v>0</v>
      </c>
      <c r="Q26" s="20">
        <f>(Założenia!P225*Założenia!P$253+Założenia!P237*Założenia!P$257)*Założenia!$E$157</f>
        <v>0</v>
      </c>
      <c r="R26" s="20">
        <f>(Założenia!Q225*Założenia!Q$253+Założenia!Q237*Założenia!Q$257)*Założenia!$E$157</f>
        <v>0</v>
      </c>
      <c r="S26" s="20">
        <f>(Założenia!R225*Założenia!R$253+Założenia!R237*Założenia!R$257)*Założenia!$E$157</f>
        <v>0</v>
      </c>
      <c r="T26" s="20">
        <f>(Założenia!S225*Założenia!S$253+Założenia!S237*Założenia!S$257)*Założenia!$E$157</f>
        <v>0</v>
      </c>
    </row>
    <row r="27" spans="1:20" s="1" customFormat="1" ht="12">
      <c r="A27" s="82"/>
      <c r="B27" s="93" t="s">
        <v>363</v>
      </c>
      <c r="C27" s="175" t="s">
        <v>0</v>
      </c>
      <c r="D27" s="252"/>
      <c r="E27" s="20">
        <f>(Założenia!D226*Założenia!D$253+Założenia!D238*Założenia!D$257)*Założenia!$E$157</f>
        <v>0</v>
      </c>
      <c r="F27" s="20">
        <f>(Założenia!E226*Założenia!E$253+Założenia!E238*Założenia!E$257)*Założenia!$E$157</f>
        <v>0</v>
      </c>
      <c r="G27" s="20">
        <f>(Założenia!F226*Założenia!F$253+Założenia!F238*Założenia!F$257)*Założenia!$E$157</f>
        <v>0</v>
      </c>
      <c r="H27" s="20">
        <f>(Założenia!G226*Założenia!G$253+Założenia!G238*Założenia!G$257)*Założenia!$E$157</f>
        <v>0</v>
      </c>
      <c r="I27" s="20">
        <f>(Założenia!H226*Założenia!H$253+Założenia!H238*Założenia!H$257)*Założenia!$E$157</f>
        <v>0</v>
      </c>
      <c r="J27" s="20">
        <f>(Założenia!I226*Założenia!I$253+Założenia!I238*Założenia!I$257)*Założenia!$E$157</f>
        <v>0</v>
      </c>
      <c r="K27" s="20">
        <f>(Założenia!J226*Założenia!J$253+Założenia!J238*Założenia!J$257)*Założenia!$E$157</f>
        <v>0</v>
      </c>
      <c r="L27" s="20">
        <f>(Założenia!K226*Założenia!K$253+Założenia!K238*Założenia!K$257)*Założenia!$E$157</f>
        <v>0</v>
      </c>
      <c r="M27" s="20">
        <f>(Założenia!L226*Założenia!L$253+Założenia!L238*Założenia!L$257)*Założenia!$E$157</f>
        <v>0</v>
      </c>
      <c r="N27" s="20">
        <f>(Założenia!M226*Założenia!M$253+Założenia!M238*Założenia!M$257)*Założenia!$E$157</f>
        <v>0</v>
      </c>
      <c r="O27" s="20">
        <f>(Założenia!N226*Założenia!N$253+Założenia!N238*Założenia!N$257)*Założenia!$E$157</f>
        <v>0</v>
      </c>
      <c r="P27" s="20">
        <f>(Założenia!O226*Założenia!O$253+Założenia!O238*Założenia!O$257)*Założenia!$E$157</f>
        <v>0</v>
      </c>
      <c r="Q27" s="20">
        <f>(Założenia!P226*Założenia!P$253+Założenia!P238*Założenia!P$257)*Założenia!$E$157</f>
        <v>0</v>
      </c>
      <c r="R27" s="20">
        <f>(Założenia!Q226*Założenia!Q$253+Założenia!Q238*Założenia!Q$257)*Założenia!$E$157</f>
        <v>0</v>
      </c>
      <c r="S27" s="20">
        <f>(Założenia!R226*Założenia!R$253+Założenia!R238*Założenia!R$257)*Założenia!$E$157</f>
        <v>0</v>
      </c>
      <c r="T27" s="20">
        <f>(Założenia!S226*Założenia!S$253+Założenia!S238*Założenia!S$257)*Założenia!$E$157</f>
        <v>0</v>
      </c>
    </row>
    <row r="28" spans="1:20" s="1" customFormat="1" ht="12">
      <c r="A28" s="82"/>
      <c r="B28" s="93" t="s">
        <v>364</v>
      </c>
      <c r="C28" s="175" t="s">
        <v>0</v>
      </c>
      <c r="D28" s="252"/>
      <c r="E28" s="20">
        <f>(Założenia!D227*Założenia!D$253+Założenia!D239*Założenia!D$257)*Założenia!$E$157</f>
        <v>0</v>
      </c>
      <c r="F28" s="20">
        <f>(Założenia!E227*Założenia!E$253+Założenia!E239*Założenia!E$257)*Założenia!$E$157</f>
        <v>0</v>
      </c>
      <c r="G28" s="20">
        <f>(Założenia!F227*Założenia!F$253+Założenia!F239*Założenia!F$257)*Założenia!$E$157</f>
        <v>0</v>
      </c>
      <c r="H28" s="20">
        <f>(Założenia!G227*Założenia!G$253+Założenia!G239*Założenia!G$257)*Założenia!$E$157</f>
        <v>0</v>
      </c>
      <c r="I28" s="20">
        <f>(Założenia!H227*Założenia!H$253+Założenia!H239*Założenia!H$257)*Założenia!$E$157</f>
        <v>0</v>
      </c>
      <c r="J28" s="20">
        <f>(Założenia!I227*Założenia!I$253+Założenia!I239*Założenia!I$257)*Założenia!$E$157</f>
        <v>0</v>
      </c>
      <c r="K28" s="20">
        <f>(Założenia!J227*Założenia!J$253+Założenia!J239*Założenia!J$257)*Założenia!$E$157</f>
        <v>0</v>
      </c>
      <c r="L28" s="20">
        <f>(Założenia!K227*Założenia!K$253+Założenia!K239*Założenia!K$257)*Założenia!$E$157</f>
        <v>0</v>
      </c>
      <c r="M28" s="20">
        <f>(Założenia!L227*Założenia!L$253+Założenia!L239*Założenia!L$257)*Założenia!$E$157</f>
        <v>0</v>
      </c>
      <c r="N28" s="20">
        <f>(Założenia!M227*Założenia!M$253+Założenia!M239*Założenia!M$257)*Założenia!$E$157</f>
        <v>0</v>
      </c>
      <c r="O28" s="20">
        <f>(Założenia!N227*Założenia!N$253+Założenia!N239*Założenia!N$257)*Założenia!$E$157</f>
        <v>0</v>
      </c>
      <c r="P28" s="20">
        <f>(Założenia!O227*Założenia!O$253+Założenia!O239*Założenia!O$257)*Założenia!$E$157</f>
        <v>0</v>
      </c>
      <c r="Q28" s="20">
        <f>(Założenia!P227*Założenia!P$253+Założenia!P239*Założenia!P$257)*Założenia!$E$157</f>
        <v>0</v>
      </c>
      <c r="R28" s="20">
        <f>(Założenia!Q227*Założenia!Q$253+Założenia!Q239*Założenia!Q$257)*Założenia!$E$157</f>
        <v>0</v>
      </c>
      <c r="S28" s="20">
        <f>(Założenia!R227*Założenia!R$253+Założenia!R239*Założenia!R$257)*Założenia!$E$157</f>
        <v>0</v>
      </c>
      <c r="T28" s="20">
        <f>(Założenia!S227*Założenia!S$253+Założenia!S239*Założenia!S$257)*Założenia!$E$157</f>
        <v>0</v>
      </c>
    </row>
    <row r="29" spans="1:20" s="1" customFormat="1" ht="12">
      <c r="A29" s="82"/>
      <c r="B29" s="93" t="s">
        <v>365</v>
      </c>
      <c r="C29" s="175" t="s">
        <v>0</v>
      </c>
      <c r="D29" s="252"/>
      <c r="E29" s="20">
        <f>(Założenia!D228*Założenia!D$253+Założenia!D230*Założenia!D$253+Założenia!D240*Założenia!D$257)*Założenia!$E$157</f>
        <v>35422.557313246063</v>
      </c>
      <c r="F29" s="20">
        <f>(Założenia!E228*Założenia!E$253+Założenia!E230*Założenia!E$253+Założenia!E240*Założenia!E$257)*Założenia!$E$157</f>
        <v>34951.410979736473</v>
      </c>
      <c r="G29" s="20">
        <f>(Założenia!F228*Założenia!F$253+Założenia!F230*Założenia!F$253+Założenia!F240*Założenia!F$257)*Założenia!$E$157</f>
        <v>34951.410979736473</v>
      </c>
      <c r="H29" s="20">
        <f>(Założenia!G228*Założenia!G$253+Założenia!G230*Założenia!G$253+Założenia!G240*Założenia!G$257)*Założenia!$E$157</f>
        <v>35034.554450355812</v>
      </c>
      <c r="I29" s="20">
        <f>(Założenia!H228*Założenia!H$253+Założenia!H230*Założenia!H$253+Założenia!H240*Założenia!H$257)*Założenia!$E$157</f>
        <v>35034.554450355812</v>
      </c>
      <c r="J29" s="20">
        <f>(Założenia!I228*Założenia!I$253+Założenia!I230*Założenia!I$253+Założenia!I240*Założenia!I$257)*Założenia!$E$157</f>
        <v>35034.554450355812</v>
      </c>
      <c r="K29" s="20">
        <f>(Założenia!J228*Założenia!J$253+Założenia!J230*Założenia!J$253+Założenia!J240*Założenia!J$257)*Założenia!$E$157</f>
        <v>35806.963317047572</v>
      </c>
      <c r="L29" s="20">
        <f>(Założenia!K228*Założenia!K$253+Założenia!K230*Założenia!K$253+Założenia!K240*Założenia!K$257)*Założenia!$E$157</f>
        <v>0</v>
      </c>
      <c r="M29" s="20">
        <f>(Założenia!L228*Założenia!L$253+Założenia!L230*Założenia!L$253+Założenia!L240*Założenia!L$257)*Założenia!$E$157</f>
        <v>0</v>
      </c>
      <c r="N29" s="20">
        <f>(Założenia!M228*Założenia!M$253+Założenia!M230*Założenia!M$253+Założenia!M240*Założenia!M$257)*Założenia!$E$157</f>
        <v>0</v>
      </c>
      <c r="O29" s="20">
        <f>(Założenia!N228*Założenia!N$253+Założenia!N230*Założenia!N$253+Założenia!N240*Założenia!N$257)*Założenia!$E$157</f>
        <v>0</v>
      </c>
      <c r="P29" s="20">
        <f>(Założenia!O228*Założenia!O$253+Założenia!O230*Założenia!O$253+Założenia!O240*Założenia!O$257)*Założenia!$E$157</f>
        <v>0</v>
      </c>
      <c r="Q29" s="20">
        <f>(Założenia!P228*Założenia!P$253+Założenia!P230*Założenia!P$253+Założenia!P240*Założenia!P$257)*Założenia!$E$157</f>
        <v>0</v>
      </c>
      <c r="R29" s="20">
        <f>(Założenia!Q228*Założenia!Q$253+Założenia!Q230*Założenia!Q$253+Założenia!Q240*Założenia!Q$257)*Założenia!$E$157</f>
        <v>0</v>
      </c>
      <c r="S29" s="20">
        <f>(Założenia!R228*Założenia!R$253+Założenia!R230*Założenia!R$253+Założenia!R240*Założenia!R$257)*Założenia!$E$157</f>
        <v>0</v>
      </c>
      <c r="T29" s="20">
        <f>(Założenia!S228*Założenia!S$253+Założenia!S230*Założenia!S$253+Założenia!S240*Założenia!S$257)*Założenia!$E$157</f>
        <v>0</v>
      </c>
    </row>
    <row r="30" spans="1:20" s="1" customFormat="1" ht="12">
      <c r="A30" s="82"/>
      <c r="B30" s="93" t="s">
        <v>367</v>
      </c>
      <c r="C30" s="175" t="s">
        <v>0</v>
      </c>
      <c r="D30" s="252"/>
      <c r="E30" s="20">
        <f>(Założenia!D229*Założenia!D$253+Założenia!D231*Założenia!D$253+Założenia!D241*Założenia!D$257+Założenia!D242*Założenia!D$257)*Założenia!$E$157</f>
        <v>308512.76486678259</v>
      </c>
      <c r="F30" s="20">
        <f>(Założenia!E229*Założenia!E$253+Założenia!E231*Założenia!E$253+Założenia!E241*Założenia!E$257+Założenia!E242*Założenia!E$257)*Założenia!$E$157</f>
        <v>305214.74053221539</v>
      </c>
      <c r="G30" s="20">
        <f>(Założenia!F229*Założenia!F$253+Założenia!F231*Założenia!F$253+Założenia!F241*Założenia!F$257+Założenia!F242*Założenia!F$257)*Założenia!$E$157</f>
        <v>305214.74053221539</v>
      </c>
      <c r="H30" s="20">
        <f>(Założenia!G229*Założenia!G$253+Założenia!G231*Założenia!G$253+Założenia!G241*Założenia!G$257+Założenia!G242*Założenia!G$257)*Założenia!$E$157</f>
        <v>305131.59706159611</v>
      </c>
      <c r="I30" s="20">
        <f>(Założenia!H229*Założenia!H$253+Założenia!H231*Założenia!H$253+Założenia!H241*Założenia!H$257+Założenia!H242*Założenia!H$257)*Założenia!$E$157</f>
        <v>305131.59706159611</v>
      </c>
      <c r="J30" s="20">
        <f>(Założenia!I229*Założenia!I$253+Założenia!I231*Założenia!I$253+Założenia!I241*Założenia!I$257+Założenia!I242*Założenia!I$257)*Założenia!$E$157</f>
        <v>305131.59706159611</v>
      </c>
      <c r="K30" s="20">
        <f>(Założenia!J229*Założenia!J$253+Założenia!J231*Założenia!J$253+Założenia!J241*Założenia!J$257+Założenia!J242*Założenia!J$257)*Założenia!$E$157</f>
        <v>304359.18819490436</v>
      </c>
      <c r="L30" s="20">
        <f>(Założenia!K229*Założenia!K$253+Założenia!K231*Założenia!K$253+Założenia!K241*Założenia!K$257+Założenia!K242*Założenia!K$257)*Założenia!$E$157</f>
        <v>340166.15151195187</v>
      </c>
      <c r="M30" s="20">
        <f>(Założenia!L229*Założenia!L$253+Założenia!L231*Założenia!L$253+Założenia!L241*Założenia!L$257+Założenia!L242*Założenia!L$257)*Założenia!$E$157</f>
        <v>340166.15151195187</v>
      </c>
      <c r="N30" s="20">
        <f>(Założenia!M229*Założenia!M$253+Założenia!M231*Założenia!M$253+Założenia!M241*Założenia!M$257+Założenia!M242*Założenia!M$257)*Założenia!$E$157</f>
        <v>340166.15151195187</v>
      </c>
      <c r="O30" s="20">
        <f>(Założenia!N229*Założenia!N$253+Założenia!N231*Założenia!N$253+Założenia!N241*Założenia!N$257+Założenia!N242*Założenia!N$257)*Założenia!$E$157</f>
        <v>340166.15151195187</v>
      </c>
      <c r="P30" s="20">
        <f>(Założenia!O229*Założenia!O$253+Założenia!O231*Założenia!O$253+Założenia!O241*Założenia!O$257+Założenia!O242*Założenia!O$257)*Założenia!$E$157</f>
        <v>340166.15151195187</v>
      </c>
      <c r="Q30" s="20">
        <f>(Założenia!P229*Założenia!P$253+Założenia!P231*Założenia!P$253+Założenia!P241*Założenia!P$257+Założenia!P242*Założenia!P$257)*Założenia!$E$157</f>
        <v>340166.15151195187</v>
      </c>
      <c r="R30" s="20">
        <f>(Założenia!Q229*Założenia!Q$253+Założenia!Q231*Założenia!Q$253+Założenia!Q241*Założenia!Q$257+Założenia!Q242*Założenia!Q$257)*Założenia!$E$157</f>
        <v>340166.15151195187</v>
      </c>
      <c r="S30" s="20">
        <f>(Założenia!R229*Założenia!R$253+Założenia!R231*Założenia!R$253+Założenia!R241*Założenia!R$257+Założenia!R242*Założenia!R$257)*Założenia!$E$157</f>
        <v>340166.15151195187</v>
      </c>
      <c r="T30" s="20">
        <f>(Założenia!S229*Założenia!S$253+Założenia!S231*Założenia!S$253+Założenia!S241*Założenia!S$257+Założenia!S242*Założenia!S$257)*Założenia!$E$157</f>
        <v>340166.15151195187</v>
      </c>
    </row>
    <row r="31" spans="1:20" s="1" customFormat="1" ht="12">
      <c r="A31" s="82"/>
      <c r="B31" s="93" t="s">
        <v>229</v>
      </c>
      <c r="C31" s="175" t="s">
        <v>0</v>
      </c>
      <c r="D31" s="252"/>
      <c r="E31" s="20">
        <f>Założenia!D233*Założenia!D255*Założenia!$E$157*Założenia!$E$160+Założenia!D243*Założenia!D258*Założenia!$E$157*Założenia!$E$160</f>
        <v>19500.376322861517</v>
      </c>
      <c r="F31" s="20">
        <f>Założenia!E233*Założenia!E255*Założenia!$E$157*Założenia!$E$160+Założenia!E243*Założenia!E258*Założenia!$E$157*Założenia!$E$160</f>
        <v>19500.376322861517</v>
      </c>
      <c r="G31" s="20">
        <f>Założenia!F233*Założenia!F255*Założenia!$E$157*Założenia!$E$160+Założenia!F243*Założenia!F258*Założenia!$E$157*Założenia!$E$160</f>
        <v>19500.376322861517</v>
      </c>
      <c r="H31" s="20">
        <f>Założenia!G233*Założenia!G255*Założenia!$E$157*Założenia!$E$160+Założenia!G243*Założenia!G258*Założenia!$E$157*Założenia!$E$160</f>
        <v>19500.376322861517</v>
      </c>
      <c r="I31" s="20">
        <f>Założenia!H233*Założenia!H255*Założenia!$E$157*Założenia!$E$160+Założenia!H243*Założenia!H258*Założenia!$E$157*Założenia!$E$160</f>
        <v>19500.376322861517</v>
      </c>
      <c r="J31" s="20">
        <f>Założenia!I233*Założenia!I255*Założenia!$E$157*Założenia!$E$160+Założenia!I243*Założenia!I258*Założenia!$E$157*Założenia!$E$160</f>
        <v>19500.376322861517</v>
      </c>
      <c r="K31" s="20">
        <f>Założenia!J233*Założenia!J255*Założenia!$E$157*Założenia!$E$160+Założenia!J243*Założenia!J258*Założenia!$E$157*Założenia!$E$160</f>
        <v>19500.376322861517</v>
      </c>
      <c r="L31" s="20">
        <f>Założenia!K233*Założenia!K255*Założenia!$E$157*Założenia!$E$160+Założenia!K243*Założenia!K258*Założenia!$E$157*Założenia!$E$160</f>
        <v>19500.376322861517</v>
      </c>
      <c r="M31" s="20">
        <f>Założenia!L233*Założenia!L255*Założenia!$E$157*Założenia!$E$160+Założenia!L243*Założenia!L258*Założenia!$E$157*Założenia!$E$160</f>
        <v>19500.376322861517</v>
      </c>
      <c r="N31" s="20">
        <f>Założenia!M233*Założenia!M255*Założenia!$E$157*Założenia!$E$160+Założenia!M243*Założenia!M258*Założenia!$E$157*Założenia!$E$160</f>
        <v>19500.376322861517</v>
      </c>
      <c r="O31" s="20">
        <f>Założenia!N233*Założenia!N255*Założenia!$E$157*Założenia!$E$160+Założenia!N243*Założenia!N258*Założenia!$E$157*Założenia!$E$160</f>
        <v>19500.376322861517</v>
      </c>
      <c r="P31" s="20">
        <f>Założenia!O233*Założenia!O255*Założenia!$E$157*Założenia!$E$160+Założenia!O243*Założenia!O258*Założenia!$E$157*Założenia!$E$160</f>
        <v>19500.376322861517</v>
      </c>
      <c r="Q31" s="20">
        <f>Założenia!P233*Założenia!P255*Założenia!$E$157*Założenia!$E$160+Założenia!P243*Założenia!P258*Założenia!$E$157*Założenia!$E$160</f>
        <v>19500.376322861517</v>
      </c>
      <c r="R31" s="20">
        <f>Założenia!Q233*Założenia!Q255*Założenia!$E$157*Założenia!$E$160+Założenia!Q243*Założenia!Q258*Założenia!$E$157*Założenia!$E$160</f>
        <v>19500.376322861517</v>
      </c>
      <c r="S31" s="20">
        <f>Założenia!R233*Założenia!R255*Założenia!$E$157*Założenia!$E$160+Założenia!R243*Założenia!R258*Założenia!$E$157*Założenia!$E$160</f>
        <v>19500.376322861517</v>
      </c>
      <c r="T31" s="20">
        <f>Założenia!S233*Założenia!S255*Założenia!$E$157*Założenia!$E$160+Założenia!S243*Założenia!S258*Założenia!$E$157*Założenia!$E$160</f>
        <v>19500.376322861517</v>
      </c>
    </row>
    <row r="32" spans="1:20" s="11" customFormat="1" ht="12">
      <c r="A32" s="37" t="s">
        <v>49</v>
      </c>
      <c r="B32" s="101" t="s">
        <v>6</v>
      </c>
      <c r="C32" s="253" t="s">
        <v>0</v>
      </c>
      <c r="D32" s="254"/>
      <c r="E32" s="19">
        <f>(((SUM(Założenia!D224:D228)+Założenia!D230)*Założenia!D253+SUM(Założenia!D236:D240)*Założenia!D257)*Założenia!$E$158+((Założenia!D229+Założenia!D231)*Założenia!D253+(Założenia!D241+Założenia!D242)*Założenia!D257)*Założenia!$E$158+(Założenia!D233*Założenia!D255+Założenia!D243*Założenia!D258)*Założenia!$E$158*Założenia!$E$160)*(1+(Założenia!D259-Założenia!$D$259)*Założenia!$E$162)+Opcje!E20*Założenia!$E$183+Opcje!E21*Założenia!E$182+Założenia!$H$183*Założenia!$E$183</f>
        <v>406903.45784096245</v>
      </c>
      <c r="F32" s="19">
        <f>(((SUM(Założenia!E224:E228)+Założenia!E230)*Założenia!E253+SUM(Założenia!E236:E240)*Założenia!E257)*Założenia!$E$158+((Założenia!E229+Założenia!E231)*Założenia!E253+(Założenia!E241+Założenia!E242)*Założenia!E257)*Założenia!$E$158+(Założenia!E233*Założenia!E255+Założenia!E243*Założenia!E258)*Założenia!$E$158*Założenia!$E$160)*(1+(Założenia!E259-Założenia!$D$259)*Założenia!$E$162)+Opcje!F20*Założenia!$E$183+Opcje!F21*Założenia!F$182+Założenia!$H$183*Założenia!$E$183</f>
        <v>422270.11267735582</v>
      </c>
      <c r="G32" s="19">
        <f>(((SUM(Założenia!F224:F228)+Założenia!F230)*Założenia!F253+SUM(Założenia!F236:F240)*Założenia!F257)*Założenia!$E$158+((Założenia!F229+Założenia!F231)*Założenia!F253+(Założenia!F241+Założenia!F242)*Założenia!F257)*Założenia!$E$158+(Założenia!F233*Założenia!F255+Założenia!F243*Założenia!F258)*Założenia!$E$158*Założenia!$E$160)*(1+(Założenia!F259-Założenia!$D$259)*Założenia!$E$162)+Opcje!G20*Założenia!$E$183+Opcje!G21*Założenia!G$182+Założenia!$H$183*Założenia!$E$183</f>
        <v>441711.54661437281</v>
      </c>
      <c r="H32" s="19">
        <f>(((SUM(Założenia!G224:G228)+Założenia!G230)*Założenia!G253+SUM(Założenia!G236:G240)*Założenia!G257)*Założenia!$E$158+((Założenia!G229+Założenia!G231)*Założenia!G253+(Założenia!G241+Założenia!G242)*Założenia!G257)*Założenia!$E$158+(Założenia!G233*Założenia!G255+Założenia!G243*Założenia!G258)*Założenia!$E$158*Założenia!$E$160)*(1+(Założenia!G259-Założenia!$D$259)*Założenia!$E$162)+Opcje!H20*Założenia!$E$183+Opcje!H21*Założenia!H$182+Założenia!$H$183*Założenia!$E$183</f>
        <v>461152.98055138974</v>
      </c>
      <c r="I32" s="19">
        <f>(((SUM(Założenia!H224:H228)+Założenia!H230)*Założenia!H253+SUM(Założenia!H236:H240)*Założenia!H257)*Założenia!$E$158+((Założenia!H229+Założenia!H231)*Założenia!H253+(Założenia!H241+Założenia!H242)*Założenia!H257)*Założenia!$E$158+(Założenia!H233*Założenia!H255+Założenia!H243*Założenia!H258)*Założenia!$E$158*Założenia!$E$160)*(1+(Założenia!H259-Założenia!$D$259)*Założenia!$E$162)+Opcje!I20*Założenia!$E$183+Opcje!I21*Założenia!I$182+Założenia!$H$183*Założenia!$E$183</f>
        <v>480594.41448840674</v>
      </c>
      <c r="J32" s="19">
        <f>(((SUM(Założenia!I224:I228)+Założenia!I230)*Założenia!I253+SUM(Założenia!I236:I240)*Założenia!I257)*Założenia!$E$158+((Założenia!I229+Założenia!I231)*Założenia!I253+(Założenia!I241+Założenia!I242)*Założenia!I257)*Założenia!$E$158+(Założenia!I233*Założenia!I255+Założenia!I243*Założenia!I258)*Założenia!$E$158*Założenia!$E$160)*(1+(Założenia!I259-Założenia!$D$259)*Założenia!$E$162)+Opcje!J20*Założenia!$E$183+Opcje!J21*Założenia!J$182+Założenia!$H$183*Założenia!$E$183</f>
        <v>500035.84842542367</v>
      </c>
      <c r="K32" s="19">
        <f>(((SUM(Założenia!J224:J228)+Założenia!J230)*Założenia!J253+SUM(Założenia!J236:J240)*Założenia!J257)*Założenia!$E$158+((Założenia!J229+Założenia!J231)*Założenia!J253+(Założenia!J241+Założenia!J242)*Założenia!J257)*Założenia!$E$158+(Założenia!J233*Założenia!J255+Założenia!J243*Założenia!J258)*Założenia!$E$158*Założenia!$E$160)*(1+(Założenia!J259-Założenia!$D$259)*Założenia!$E$162)+Opcje!K20*Założenia!$E$183+Opcje!K21*Założenia!K$182+Założenia!$H$183*Założenia!$E$183</f>
        <v>519477.28236244054</v>
      </c>
      <c r="L32" s="19">
        <f>(((SUM(Założenia!K224:K228)+Założenia!K230)*Założenia!K253+SUM(Założenia!K236:K240)*Założenia!K257)*Założenia!$E$158+((Założenia!K229+Założenia!K231)*Założenia!K253+(Założenia!K241+Założenia!K242)*Założenia!K257)*Założenia!$E$158+(Założenia!K233*Założenia!K255+Założenia!K243*Założenia!K258)*Założenia!$E$158*Założenia!$E$160)*(1+(Założenia!K259-Założenia!$D$259)*Założenia!$E$162)+Opcje!L20*Założenia!$E$183+Opcje!L21*Założenia!L$182+Założenia!$H$183*Założenia!$E$183</f>
        <v>523180.41263615817</v>
      </c>
      <c r="M32" s="19">
        <f>(((SUM(Założenia!L224:L228)+Założenia!L230)*Założenia!L253+SUM(Założenia!L236:L240)*Założenia!L257)*Założenia!$E$158+((Założenia!L229+Założenia!L231)*Założenia!L253+(Założenia!L241+Założenia!L242)*Założenia!L257)*Założenia!$E$158+(Założenia!L233*Założenia!L255+Założenia!L243*Założenia!L258)*Założenia!$E$158*Założenia!$E$160)*(1+(Założenia!L259-Założenia!$D$259)*Założenia!$E$162)+Opcje!M20*Założenia!$E$183+Opcje!M21*Założenia!M$182+Założenia!$H$183*Założenia!$E$183</f>
        <v>542621.84657317516</v>
      </c>
      <c r="N32" s="19">
        <f>(((SUM(Założenia!M224:M228)+Założenia!M230)*Założenia!M253+SUM(Założenia!M236:M240)*Założenia!M257)*Założenia!$E$158+((Założenia!M229+Założenia!M231)*Założenia!M253+(Założenia!M241+Założenia!M242)*Założenia!M257)*Założenia!$E$158+(Założenia!M233*Założenia!M255+Założenia!M243*Założenia!M258)*Założenia!$E$158*Założenia!$E$160)*(1+(Założenia!M259-Założenia!$D$259)*Założenia!$E$162)+Opcje!N20*Założenia!$E$183+Opcje!N21*Założenia!N$182+Założenia!$H$183*Założenia!$E$183</f>
        <v>458375.63284610165</v>
      </c>
      <c r="O32" s="19">
        <f>(((SUM(Założenia!N224:N228)+Założenia!N230)*Założenia!N253+SUM(Założenia!N236:N240)*Założenia!N257)*Założenia!$E$158+((Założenia!N229+Założenia!N231)*Założenia!N253+(Założenia!N241+Założenia!N242)*Założenia!N257)*Założenia!$E$158+(Założenia!N233*Założenia!N255+Założenia!N243*Założenia!N258)*Założenia!$E$158*Założenia!$E$160)*(1+(Założenia!N259-Założenia!$D$259)*Założenia!$E$162)+Opcje!O20*Założenia!$E$183+Opcje!O21*Założenia!O$182+Założenia!$H$183*Założenia!$E$183</f>
        <v>477817.06678311859</v>
      </c>
      <c r="P32" s="19">
        <f>(((SUM(Założenia!O224:O228)+Założenia!O230)*Założenia!O253+SUM(Założenia!O236:O240)*Założenia!O257)*Założenia!$E$158+((Założenia!O229+Założenia!O231)*Założenia!O253+(Założenia!O241+Założenia!O242)*Założenia!O257)*Założenia!$E$158+(Założenia!O233*Założenia!O255+Założenia!O243*Założenia!O258)*Założenia!$E$158*Założenia!$E$160)*(1+(Założenia!O259-Założenia!$D$259)*Założenia!$E$162)+Opcje!P20*Założenia!$E$183+Opcje!P21*Założenia!P$182+Założenia!$H$183*Założenia!$E$183</f>
        <v>497258.50072013558</v>
      </c>
      <c r="Q32" s="19">
        <f>(((SUM(Założenia!P224:P228)+Założenia!P230)*Założenia!P253+SUM(Założenia!P236:P240)*Założenia!P257)*Założenia!$E$158+((Założenia!P229+Założenia!P231)*Założenia!P253+(Założenia!P241+Założenia!P242)*Założenia!P257)*Założenia!$E$158+(Założenia!P233*Założenia!P255+Założenia!P243*Założenia!P258)*Założenia!$E$158*Założenia!$E$160)*(1+(Założenia!P259-Założenia!$D$259)*Założenia!$E$162)+Opcje!Q20*Założenia!$E$183+Opcje!Q21*Założenia!Q$182+Założenia!$H$183*Założenia!$E$183</f>
        <v>486149.10989898304</v>
      </c>
      <c r="R32" s="19">
        <f>(((SUM(Założenia!Q224:Q228)+Założenia!Q230)*Założenia!Q253+SUM(Założenia!Q236:Q240)*Założenia!Q257)*Założenia!$E$158+((Założenia!Q229+Założenia!Q231)*Założenia!Q253+(Założenia!Q241+Założenia!Q242)*Założenia!Q257)*Założenia!$E$158+(Założenia!Q233*Założenia!Q255+Założenia!Q243*Założenia!Q258)*Założenia!$E$158*Założenia!$E$160)*(1+(Założenia!Q259-Założenia!$D$259)*Założenia!$E$162)+Opcje!R20*Założenia!$E$183+Opcje!R21*Założenia!R$182+Założenia!$H$183*Założenia!$E$183</f>
        <v>511145.23924657621</v>
      </c>
      <c r="S32" s="19">
        <f>(((SUM(Założenia!R224:R228)+Założenia!R230)*Założenia!R253+SUM(Założenia!R236:R240)*Założenia!R257)*Założenia!$E$158+((Założenia!R229+Założenia!R231)*Założenia!R253+(Założenia!R241+Założenia!R242)*Założenia!R257)*Założenia!$E$158+(Założenia!R233*Założenia!R255+Założenia!R243*Założenia!R258)*Założenia!$E$158*Założenia!$E$160)*(1+(Założenia!R259-Założenia!$D$259)*Założenia!$E$162)+Opcje!S20*Założenia!$E$183+Opcje!S21*Założenia!S$182+Założenia!$H$183*Założenia!$E$183</f>
        <v>530586.6731835932</v>
      </c>
      <c r="T32" s="19">
        <f>(((SUM(Założenia!S224:S228)+Założenia!S230)*Założenia!S253+SUM(Założenia!S236:S240)*Założenia!S257)*Założenia!$E$158+((Założenia!S229+Założenia!S231)*Założenia!S253+(Założenia!S241+Założenia!S242)*Założenia!S257)*Założenia!$E$158+(Założenia!S233*Założenia!S255+Założenia!S243*Założenia!S258)*Założenia!$E$158*Założenia!$E$160)*(1+(Założenia!S259-Założenia!$D$259)*Założenia!$E$162)+Opcje!T20*Założenia!$E$183+Opcje!T21*Założenia!T$182+Założenia!$H$183*Założenia!$E$183</f>
        <v>535215.58602574014</v>
      </c>
    </row>
    <row r="33" spans="1:21" s="11" customFormat="1" ht="12">
      <c r="A33" s="37" t="s">
        <v>60</v>
      </c>
      <c r="B33" s="101" t="s">
        <v>7</v>
      </c>
      <c r="C33" s="253" t="s">
        <v>0</v>
      </c>
      <c r="D33" s="254"/>
      <c r="E33" s="19">
        <f>Założenia!$F$198-Założenia!$G$209*(Założenia!D222+Założenia!D235)</f>
        <v>31748.132442352944</v>
      </c>
      <c r="F33" s="19">
        <f>Założenia!$F$198-Założenia!$G$209*(Założenia!E222+Założenia!E235)</f>
        <v>31748.132442352944</v>
      </c>
      <c r="G33" s="19">
        <f>Założenia!$F$198-Założenia!$G$209*(Założenia!F222+Założenia!F235)</f>
        <v>31748.132442352944</v>
      </c>
      <c r="H33" s="19">
        <f>Założenia!$F$198-Założenia!$G$209*(Założenia!G222+Założenia!G235)</f>
        <v>31748.132442352944</v>
      </c>
      <c r="I33" s="19">
        <f>Założenia!$F$198-Założenia!$G$209*(Założenia!H222+Założenia!H235)</f>
        <v>31748.132442352944</v>
      </c>
      <c r="J33" s="19">
        <f>Założenia!$F$198-Założenia!$G$209*(Założenia!I222+Założenia!I235)</f>
        <v>31748.132442352944</v>
      </c>
      <c r="K33" s="19">
        <f>Założenia!$F$198-Założenia!$G$209*(Założenia!J222+Założenia!J235)</f>
        <v>31748.132442352944</v>
      </c>
      <c r="L33" s="19">
        <f>Założenia!$F$198-Założenia!$G$209*(Założenia!K222+Założenia!K235)</f>
        <v>31748.132442352944</v>
      </c>
      <c r="M33" s="19">
        <f>Założenia!$F$198-Założenia!$G$209*(Założenia!L222+Założenia!L235)</f>
        <v>31748.132442352944</v>
      </c>
      <c r="N33" s="19">
        <f>Założenia!$F$198-Założenia!$G$209*(Założenia!M222+Założenia!M235)</f>
        <v>31748.132442352944</v>
      </c>
      <c r="O33" s="19">
        <f>Założenia!$F$198-Założenia!$G$209*(Założenia!N222+Założenia!N235)</f>
        <v>31748.132442352944</v>
      </c>
      <c r="P33" s="19">
        <f>Założenia!$F$198-Założenia!$G$209*(Założenia!O222+Założenia!O235)</f>
        <v>31748.132442352944</v>
      </c>
      <c r="Q33" s="19">
        <f>Założenia!$F$198-Założenia!$G$209*(Założenia!P222+Założenia!P235)</f>
        <v>31748.132442352944</v>
      </c>
      <c r="R33" s="19">
        <f>Założenia!$F$198-Założenia!$G$209*(Założenia!Q222+Założenia!Q235)</f>
        <v>31748.132442352944</v>
      </c>
      <c r="S33" s="19">
        <f>Założenia!$F$198-Założenia!$G$209*(Założenia!R222+Założenia!R235)</f>
        <v>31748.132442352944</v>
      </c>
      <c r="T33" s="19">
        <f>Założenia!$F$198-Założenia!$G$209*(Założenia!S222+Założenia!S235)</f>
        <v>31748.132442352944</v>
      </c>
    </row>
    <row r="34" spans="1:21" s="11" customFormat="1" ht="12">
      <c r="A34" s="37" t="s">
        <v>68</v>
      </c>
      <c r="B34" s="133" t="s">
        <v>9</v>
      </c>
      <c r="C34" s="253" t="s">
        <v>0</v>
      </c>
      <c r="D34" s="254"/>
      <c r="E34" s="19">
        <f>Założenia!$F$188</f>
        <v>2074596.3223008001</v>
      </c>
      <c r="F34" s="19">
        <f>Założenia!$G$188</f>
        <v>2074596.3223008001</v>
      </c>
      <c r="G34" s="19">
        <f>Założenia!$G$188</f>
        <v>2074596.3223008001</v>
      </c>
      <c r="H34" s="19">
        <f>Założenia!$G$188</f>
        <v>2074596.3223008001</v>
      </c>
      <c r="I34" s="19">
        <f>Założenia!$G$188</f>
        <v>2074596.3223008001</v>
      </c>
      <c r="J34" s="19">
        <f>Założenia!$G$188</f>
        <v>2074596.3223008001</v>
      </c>
      <c r="K34" s="19">
        <f>Założenia!$G$188</f>
        <v>2074596.3223008001</v>
      </c>
      <c r="L34" s="19">
        <f>Założenia!$G$188</f>
        <v>2074596.3223008001</v>
      </c>
      <c r="M34" s="19">
        <f>Założenia!$G$188</f>
        <v>2074596.3223008001</v>
      </c>
      <c r="N34" s="19">
        <f>Założenia!$G$188</f>
        <v>2074596.3223008001</v>
      </c>
      <c r="O34" s="19">
        <f>Założenia!$G$188</f>
        <v>2074596.3223008001</v>
      </c>
      <c r="P34" s="19">
        <f>Założenia!$G$188</f>
        <v>2074596.3223008001</v>
      </c>
      <c r="Q34" s="19">
        <f>Założenia!$G$188</f>
        <v>2074596.3223008001</v>
      </c>
      <c r="R34" s="19">
        <f>Założenia!$G$188</f>
        <v>2074596.3223008001</v>
      </c>
      <c r="S34" s="19">
        <f>Założenia!$G$188</f>
        <v>2074596.3223008001</v>
      </c>
      <c r="T34" s="19">
        <f>Założenia!$G$188</f>
        <v>2074596.3223008001</v>
      </c>
    </row>
    <row r="35" spans="1:21" s="11" customFormat="1" ht="12">
      <c r="A35" s="37" t="s">
        <v>69</v>
      </c>
      <c r="B35" s="94" t="s">
        <v>374</v>
      </c>
      <c r="C35" s="253" t="s">
        <v>0</v>
      </c>
      <c r="D35" s="254"/>
      <c r="E35" s="19">
        <f>Założenia!$F$189</f>
        <v>518649.08057520003</v>
      </c>
      <c r="F35" s="19">
        <f>Założenia!$G$189</f>
        <v>518649.08057520003</v>
      </c>
      <c r="G35" s="19">
        <f>Założenia!$G$189</f>
        <v>518649.08057520003</v>
      </c>
      <c r="H35" s="19">
        <f>Założenia!$G$189</f>
        <v>518649.08057520003</v>
      </c>
      <c r="I35" s="19">
        <f>Założenia!$G$189</f>
        <v>518649.08057520003</v>
      </c>
      <c r="J35" s="19">
        <f>Założenia!$G$189</f>
        <v>518649.08057520003</v>
      </c>
      <c r="K35" s="19">
        <f>Założenia!$G$189</f>
        <v>518649.08057520003</v>
      </c>
      <c r="L35" s="19">
        <f>Założenia!$G$189</f>
        <v>518649.08057520003</v>
      </c>
      <c r="M35" s="19">
        <f>Założenia!$G$189</f>
        <v>518649.08057520003</v>
      </c>
      <c r="N35" s="19">
        <f>Założenia!$G$189</f>
        <v>518649.08057520003</v>
      </c>
      <c r="O35" s="19">
        <f>Założenia!$G$189</f>
        <v>518649.08057520003</v>
      </c>
      <c r="P35" s="19">
        <f>Założenia!$G$189</f>
        <v>518649.08057520003</v>
      </c>
      <c r="Q35" s="19">
        <f>Założenia!$G$189</f>
        <v>518649.08057520003</v>
      </c>
      <c r="R35" s="19">
        <f>Założenia!$G$189</f>
        <v>518649.08057520003</v>
      </c>
      <c r="S35" s="19">
        <f>Założenia!$G$189</f>
        <v>518649.08057520003</v>
      </c>
      <c r="T35" s="19">
        <f>Założenia!$G$189</f>
        <v>518649.08057520003</v>
      </c>
    </row>
    <row r="36" spans="1:21" s="11" customFormat="1" ht="12">
      <c r="A36" s="37" t="s">
        <v>383</v>
      </c>
      <c r="B36" s="134" t="s">
        <v>8</v>
      </c>
      <c r="C36" s="253" t="s">
        <v>0</v>
      </c>
      <c r="D36" s="254"/>
      <c r="E36" s="19">
        <f>E37+E38</f>
        <v>971046.14945999987</v>
      </c>
      <c r="F36" s="19">
        <f t="shared" ref="F36:T36" si="9">F37+F38</f>
        <v>971046.14945999987</v>
      </c>
      <c r="G36" s="19">
        <f t="shared" si="9"/>
        <v>971046.14945999987</v>
      </c>
      <c r="H36" s="19">
        <f t="shared" si="9"/>
        <v>971046.14945999987</v>
      </c>
      <c r="I36" s="19">
        <f t="shared" si="9"/>
        <v>971046.14945999987</v>
      </c>
      <c r="J36" s="19">
        <f t="shared" si="9"/>
        <v>971046.14945999987</v>
      </c>
      <c r="K36" s="19">
        <f t="shared" si="9"/>
        <v>971046.14945999987</v>
      </c>
      <c r="L36" s="19">
        <f t="shared" si="9"/>
        <v>971046.14945999987</v>
      </c>
      <c r="M36" s="19">
        <f t="shared" si="9"/>
        <v>971046.14945999987</v>
      </c>
      <c r="N36" s="19">
        <f t="shared" si="9"/>
        <v>971046.14945999987</v>
      </c>
      <c r="O36" s="19">
        <f t="shared" si="9"/>
        <v>971046.14945999987</v>
      </c>
      <c r="P36" s="19">
        <f t="shared" si="9"/>
        <v>971046.14945999987</v>
      </c>
      <c r="Q36" s="19">
        <f t="shared" si="9"/>
        <v>971046.14945999987</v>
      </c>
      <c r="R36" s="19">
        <f t="shared" si="9"/>
        <v>971046.14945999987</v>
      </c>
      <c r="S36" s="19">
        <f t="shared" si="9"/>
        <v>971046.14945999987</v>
      </c>
      <c r="T36" s="19">
        <f t="shared" si="9"/>
        <v>971046.14945999987</v>
      </c>
    </row>
    <row r="37" spans="1:21" s="1" customFormat="1" ht="12">
      <c r="A37" s="82" t="s">
        <v>384</v>
      </c>
      <c r="B37" s="97" t="s">
        <v>148</v>
      </c>
      <c r="C37" s="175" t="s">
        <v>0</v>
      </c>
      <c r="D37" s="252"/>
      <c r="E37" s="20">
        <f>Założenia!$E$209*(Założenia!D222+Założenia!D235)+Założenia!$F$209*Założenia!D233</f>
        <v>82560.139200000005</v>
      </c>
      <c r="F37" s="20">
        <f>Założenia!$E$209*(Założenia!E222+Założenia!E235)+Założenia!$F$209*Założenia!E233</f>
        <v>82560.139200000005</v>
      </c>
      <c r="G37" s="20">
        <f>Założenia!$E$209*(Założenia!F222+Założenia!F235)+Założenia!$F$209*Założenia!F233</f>
        <v>82560.139200000005</v>
      </c>
      <c r="H37" s="20">
        <f>Założenia!$E$209*(Założenia!G222+Założenia!G235)+Założenia!$F$209*Założenia!G233</f>
        <v>82560.139200000005</v>
      </c>
      <c r="I37" s="20">
        <f>Założenia!$E$209*(Założenia!H222+Założenia!H235)+Założenia!$F$209*Założenia!H233</f>
        <v>82560.139200000005</v>
      </c>
      <c r="J37" s="20">
        <f>Założenia!$E$209*(Założenia!I222+Założenia!I235)+Założenia!$F$209*Założenia!I233</f>
        <v>82560.139200000005</v>
      </c>
      <c r="K37" s="20">
        <f>Założenia!$E$209*(Założenia!J222+Założenia!J235)+Założenia!$F$209*Założenia!J233</f>
        <v>82560.139200000005</v>
      </c>
      <c r="L37" s="20">
        <f>Założenia!$E$209*(Założenia!K222+Założenia!K235)+Założenia!$F$209*Założenia!K233</f>
        <v>82560.139200000005</v>
      </c>
      <c r="M37" s="20">
        <f>Założenia!$E$209*(Założenia!L222+Założenia!L235)+Założenia!$F$209*Założenia!L233</f>
        <v>82560.139200000005</v>
      </c>
      <c r="N37" s="20">
        <f>Założenia!$E$209*(Założenia!M222+Założenia!M235)+Założenia!$F$209*Założenia!M233</f>
        <v>82560.139200000005</v>
      </c>
      <c r="O37" s="20">
        <f>Założenia!$E$209*(Założenia!N222+Założenia!N235)+Założenia!$F$209*Założenia!N233</f>
        <v>82560.139200000005</v>
      </c>
      <c r="P37" s="20">
        <f>Założenia!$E$209*(Założenia!O222+Założenia!O235)+Założenia!$F$209*Założenia!O233</f>
        <v>82560.139200000005</v>
      </c>
      <c r="Q37" s="20">
        <f>Założenia!$E$209*(Założenia!P222+Założenia!P235)+Założenia!$F$209*Założenia!P233</f>
        <v>82560.139200000005</v>
      </c>
      <c r="R37" s="20">
        <f>Założenia!$E$209*(Założenia!Q222+Założenia!Q235)+Założenia!$F$209*Założenia!Q233</f>
        <v>82560.139200000005</v>
      </c>
      <c r="S37" s="20">
        <f>Założenia!$E$209*(Założenia!R222+Założenia!R235)+Założenia!$F$209*Założenia!R233</f>
        <v>82560.139200000005</v>
      </c>
      <c r="T37" s="20">
        <f>Założenia!$E$209*(Założenia!S222+Założenia!S235)+Założenia!$F$209*Założenia!S233</f>
        <v>82560.139200000005</v>
      </c>
    </row>
    <row r="38" spans="1:21" s="1" customFormat="1" ht="12">
      <c r="A38" s="82" t="s">
        <v>385</v>
      </c>
      <c r="B38" s="97" t="s">
        <v>79</v>
      </c>
      <c r="C38" s="175" t="s">
        <v>0</v>
      </c>
      <c r="D38" s="252"/>
      <c r="E38" s="20">
        <f>Założenia!$F$200-Założenia!$F$209*Założenia!D233</f>
        <v>888486.01025999989</v>
      </c>
      <c r="F38" s="20">
        <f>Założenia!$F$200-Założenia!$F$209*Założenia!E233</f>
        <v>888486.01025999989</v>
      </c>
      <c r="G38" s="20">
        <f>Założenia!$F$200-Założenia!$F$209*Założenia!F233</f>
        <v>888486.01025999989</v>
      </c>
      <c r="H38" s="20">
        <f>Założenia!$F$200-Założenia!$F$209*Założenia!G233</f>
        <v>888486.01025999989</v>
      </c>
      <c r="I38" s="20">
        <f>Założenia!$F$200-Założenia!$F$209*Założenia!H233</f>
        <v>888486.01025999989</v>
      </c>
      <c r="J38" s="20">
        <f>Założenia!$F$200-Założenia!$F$209*Założenia!I233</f>
        <v>888486.01025999989</v>
      </c>
      <c r="K38" s="20">
        <f>Założenia!$F$200-Założenia!$F$209*Założenia!J233</f>
        <v>888486.01025999989</v>
      </c>
      <c r="L38" s="20">
        <f>Założenia!$F$200-Założenia!$F$209*Założenia!K233</f>
        <v>888486.01025999989</v>
      </c>
      <c r="M38" s="20">
        <f>Założenia!$F$200-Założenia!$F$209*Założenia!L233</f>
        <v>888486.01025999989</v>
      </c>
      <c r="N38" s="20">
        <f>Założenia!$F$200-Założenia!$F$209*Założenia!M233</f>
        <v>888486.01025999989</v>
      </c>
      <c r="O38" s="20">
        <f>Założenia!$F$200-Założenia!$F$209*Założenia!N233</f>
        <v>888486.01025999989</v>
      </c>
      <c r="P38" s="20">
        <f>Założenia!$F$200-Założenia!$F$209*Założenia!O233</f>
        <v>888486.01025999989</v>
      </c>
      <c r="Q38" s="20">
        <f>Założenia!$F$200-Założenia!$F$209*Założenia!P233</f>
        <v>888486.01025999989</v>
      </c>
      <c r="R38" s="20">
        <f>Założenia!$F$200-Założenia!$F$209*Założenia!Q233</f>
        <v>888486.01025999989</v>
      </c>
      <c r="S38" s="20">
        <f>Założenia!$F$200-Założenia!$F$209*Założenia!R233</f>
        <v>888486.01025999989</v>
      </c>
      <c r="T38" s="20">
        <f>Założenia!$F$200-Założenia!$F$209*Założenia!S233</f>
        <v>888486.01025999989</v>
      </c>
    </row>
    <row r="39" spans="1:21" s="1" customFormat="1" ht="12">
      <c r="A39" s="37" t="s">
        <v>351</v>
      </c>
      <c r="B39" s="251" t="s">
        <v>380</v>
      </c>
      <c r="C39" s="175" t="s">
        <v>0</v>
      </c>
      <c r="D39" s="252"/>
      <c r="E39" s="19">
        <f>Założenia!$F$201</f>
        <v>964893.791784</v>
      </c>
      <c r="F39" s="19">
        <f>Założenia!$F$201</f>
        <v>964893.791784</v>
      </c>
      <c r="G39" s="19">
        <f>Założenia!$F$201</f>
        <v>964893.791784</v>
      </c>
      <c r="H39" s="19">
        <f>Założenia!$F$201</f>
        <v>964893.791784</v>
      </c>
      <c r="I39" s="19">
        <f>Założenia!$F$201</f>
        <v>964893.791784</v>
      </c>
      <c r="J39" s="19">
        <f>Założenia!$F$201</f>
        <v>964893.791784</v>
      </c>
      <c r="K39" s="19">
        <f>Założenia!$F$201</f>
        <v>964893.791784</v>
      </c>
      <c r="L39" s="19">
        <f>Założenia!$F$201</f>
        <v>964893.791784</v>
      </c>
      <c r="M39" s="19">
        <f>Założenia!$F$201</f>
        <v>964893.791784</v>
      </c>
      <c r="N39" s="19">
        <f>Założenia!$F$201</f>
        <v>964893.791784</v>
      </c>
      <c r="O39" s="19">
        <f>Założenia!$F$201</f>
        <v>964893.791784</v>
      </c>
      <c r="P39" s="19">
        <f>Założenia!$F$201</f>
        <v>964893.791784</v>
      </c>
      <c r="Q39" s="19">
        <f>Założenia!$F$201</f>
        <v>964893.791784</v>
      </c>
      <c r="R39" s="19">
        <f>Założenia!$F$201</f>
        <v>964893.791784</v>
      </c>
      <c r="S39" s="19">
        <f>Założenia!$F$201</f>
        <v>964893.791784</v>
      </c>
      <c r="T39" s="19">
        <f>Założenia!$F$201</f>
        <v>964893.791784</v>
      </c>
    </row>
    <row r="40" spans="1:21" s="23" customFormat="1">
      <c r="A40" s="11"/>
      <c r="B40" s="255"/>
      <c r="C40" s="4"/>
      <c r="D40" s="4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11"/>
    </row>
    <row r="41" spans="1:21" s="1" customFormat="1" ht="12">
      <c r="A41" s="227" t="s">
        <v>25</v>
      </c>
      <c r="B41" s="81" t="s">
        <v>218</v>
      </c>
    </row>
    <row r="42" spans="1:21" s="23" customFormat="1">
      <c r="A42" s="37" t="s">
        <v>33</v>
      </c>
      <c r="B42" s="133" t="s">
        <v>151</v>
      </c>
      <c r="C42" s="175" t="s">
        <v>0</v>
      </c>
      <c r="D42" s="253"/>
      <c r="E42" s="92">
        <f t="shared" ref="E42:T42" si="10">E44*E49</f>
        <v>424104.24730364338</v>
      </c>
      <c r="F42" s="92">
        <f t="shared" si="10"/>
        <v>482495.7180961218</v>
      </c>
      <c r="G42" s="92">
        <f t="shared" si="10"/>
        <v>544618.84605591942</v>
      </c>
      <c r="H42" s="92">
        <f t="shared" si="10"/>
        <v>606058.87420065841</v>
      </c>
      <c r="I42" s="92">
        <f t="shared" si="10"/>
        <v>667897.72748406243</v>
      </c>
      <c r="J42" s="92">
        <f t="shared" si="10"/>
        <v>728633.89351610269</v>
      </c>
      <c r="K42" s="92">
        <f t="shared" si="10"/>
        <v>782151.90496416809</v>
      </c>
      <c r="L42" s="92">
        <f t="shared" si="10"/>
        <v>845354.20693150104</v>
      </c>
      <c r="M42" s="92">
        <f t="shared" si="10"/>
        <v>904959.69047340867</v>
      </c>
      <c r="N42" s="92">
        <f t="shared" si="10"/>
        <v>1004010.310724632</v>
      </c>
      <c r="O42" s="92">
        <f t="shared" si="10"/>
        <v>1100567.0337938236</v>
      </c>
      <c r="P42" s="92">
        <f t="shared" si="10"/>
        <v>1196288.0359988229</v>
      </c>
      <c r="Q42" s="92">
        <f t="shared" si="10"/>
        <v>1291173.317339631</v>
      </c>
      <c r="R42" s="92">
        <f t="shared" si="10"/>
        <v>1385222.8778162471</v>
      </c>
      <c r="S42" s="92">
        <f t="shared" si="10"/>
        <v>1474899.7874826705</v>
      </c>
      <c r="T42" s="92">
        <f t="shared" si="10"/>
        <v>1562114.3053170999</v>
      </c>
      <c r="U42" s="11"/>
    </row>
    <row r="43" spans="1:21" s="23" customFormat="1" ht="13.5">
      <c r="A43" s="82"/>
      <c r="B43" s="96" t="s">
        <v>263</v>
      </c>
      <c r="C43" s="175" t="s">
        <v>165</v>
      </c>
      <c r="D43" s="175"/>
      <c r="E43" s="140">
        <f>Założenia!E96</f>
        <v>2.68</v>
      </c>
      <c r="F43" s="140">
        <f>Założenia!F96</f>
        <v>2.68</v>
      </c>
      <c r="G43" s="140">
        <f>Założenia!G96</f>
        <v>2.68</v>
      </c>
      <c r="H43" s="140">
        <f>Założenia!H96</f>
        <v>2.68</v>
      </c>
      <c r="I43" s="140">
        <f>Założenia!I96</f>
        <v>2.68</v>
      </c>
      <c r="J43" s="140">
        <f>Założenia!J96</f>
        <v>2.68</v>
      </c>
      <c r="K43" s="140">
        <f>Założenia!K96</f>
        <v>2.68</v>
      </c>
      <c r="L43" s="140">
        <f>Założenia!L96</f>
        <v>2.68</v>
      </c>
      <c r="M43" s="140">
        <f>Założenia!M96</f>
        <v>2.68</v>
      </c>
      <c r="N43" s="140">
        <f>Założenia!N96</f>
        <v>2.68</v>
      </c>
      <c r="O43" s="140">
        <f>Założenia!O96</f>
        <v>2.68</v>
      </c>
      <c r="P43" s="140">
        <f>Założenia!P96</f>
        <v>2.68</v>
      </c>
      <c r="Q43" s="140">
        <f>Założenia!Q96</f>
        <v>2.68</v>
      </c>
      <c r="R43" s="140">
        <f>Założenia!R96</f>
        <v>2.68</v>
      </c>
      <c r="S43" s="140">
        <f>Założenia!S96</f>
        <v>2.68</v>
      </c>
      <c r="T43" s="140">
        <f>Założenia!T96</f>
        <v>2.68</v>
      </c>
      <c r="U43" s="11"/>
    </row>
    <row r="44" spans="1:21" s="23" customFormat="1" ht="13.5">
      <c r="A44" s="82"/>
      <c r="B44" s="96" t="s">
        <v>149</v>
      </c>
      <c r="C44" s="175" t="s">
        <v>150</v>
      </c>
      <c r="D44" s="175"/>
      <c r="E44" s="141">
        <f>Założenia!E97</f>
        <v>655.58463225699438</v>
      </c>
      <c r="F44" s="141">
        <f>Założenia!F97</f>
        <v>753.34725285672152</v>
      </c>
      <c r="G44" s="141">
        <f>Założenia!G97</f>
        <v>851.10987345644878</v>
      </c>
      <c r="H44" s="141">
        <f>Założenia!H97</f>
        <v>948.87249405617604</v>
      </c>
      <c r="I44" s="141">
        <f>Założenia!I97</f>
        <v>1046.6351146559032</v>
      </c>
      <c r="J44" s="141">
        <f>Założenia!J97</f>
        <v>1144.3977352556303</v>
      </c>
      <c r="K44" s="141">
        <f>Założenia!K97</f>
        <v>1242.1603558553577</v>
      </c>
      <c r="L44" s="141">
        <f>Założenia!L97</f>
        <v>1339.9229764550848</v>
      </c>
      <c r="M44" s="141">
        <f>Założenia!M97</f>
        <v>1437.685597054812</v>
      </c>
      <c r="N44" s="141">
        <f>Założenia!N97</f>
        <v>1598.7063839249508</v>
      </c>
      <c r="O44" s="141">
        <f>Założenia!O97</f>
        <v>1759.7271707950902</v>
      </c>
      <c r="P44" s="141">
        <f>Założenia!P97</f>
        <v>1920.747957665229</v>
      </c>
      <c r="Q44" s="141">
        <f>Założenia!Q97</f>
        <v>2081.7687445353681</v>
      </c>
      <c r="R44" s="141">
        <f>Założenia!R97</f>
        <v>2242.7895314055068</v>
      </c>
      <c r="S44" s="141">
        <f>Założenia!S97</f>
        <v>2398.0595758874269</v>
      </c>
      <c r="T44" s="141">
        <f>Założenia!T97</f>
        <v>2553.3296203693462</v>
      </c>
      <c r="U44" s="11"/>
    </row>
    <row r="45" spans="1:21" s="23" customFormat="1">
      <c r="A45" s="82"/>
      <c r="B45" s="96" t="s">
        <v>432</v>
      </c>
      <c r="C45" s="175" t="s">
        <v>134</v>
      </c>
      <c r="D45" s="175"/>
      <c r="E45" s="91">
        <f>Założenia!D253</f>
        <v>49254.297058823526</v>
      </c>
      <c r="F45" s="91">
        <f>Założenia!E253</f>
        <v>48599.178308823524</v>
      </c>
      <c r="G45" s="91">
        <f>Założenia!F253</f>
        <v>48599.178308823524</v>
      </c>
      <c r="H45" s="91">
        <f>Założenia!G253</f>
        <v>48714.787499999999</v>
      </c>
      <c r="I45" s="91">
        <f>Założenia!H253</f>
        <v>48714.787499999999</v>
      </c>
      <c r="J45" s="91">
        <f>Założenia!I253</f>
        <v>48714.787499999999</v>
      </c>
      <c r="K45" s="91">
        <f>Założenia!J253</f>
        <v>49788.805263157898</v>
      </c>
      <c r="L45" s="91">
        <f>Założenia!K253</f>
        <v>49788.805263157898</v>
      </c>
      <c r="M45" s="91">
        <f>Założenia!L253</f>
        <v>49788.805263157898</v>
      </c>
      <c r="N45" s="91">
        <f>Założenia!M253</f>
        <v>49788.805263157898</v>
      </c>
      <c r="O45" s="91">
        <f>Założenia!N253</f>
        <v>49788.805263157898</v>
      </c>
      <c r="P45" s="91">
        <f>Założenia!O253</f>
        <v>49788.805263157898</v>
      </c>
      <c r="Q45" s="91">
        <f>Założenia!P253</f>
        <v>49788.805263157898</v>
      </c>
      <c r="R45" s="91">
        <f>Założenia!Q253</f>
        <v>49788.805263157898</v>
      </c>
      <c r="S45" s="91">
        <f>Założenia!R253</f>
        <v>49788.805263157898</v>
      </c>
      <c r="T45" s="91">
        <f>Założenia!S253</f>
        <v>49788.805263157898</v>
      </c>
      <c r="U45" s="11"/>
    </row>
    <row r="46" spans="1:21" s="23" customFormat="1">
      <c r="A46" s="82"/>
      <c r="B46" s="96" t="s">
        <v>435</v>
      </c>
      <c r="C46" s="175" t="s">
        <v>134</v>
      </c>
      <c r="D46" s="175"/>
      <c r="E46" s="91">
        <f>Założenia!D255</f>
        <v>38735.5</v>
      </c>
      <c r="F46" s="91">
        <f>Założenia!E255</f>
        <v>38735.5</v>
      </c>
      <c r="G46" s="91">
        <f>Założenia!F255</f>
        <v>38735.5</v>
      </c>
      <c r="H46" s="91">
        <f>Założenia!G255</f>
        <v>38735.5</v>
      </c>
      <c r="I46" s="91">
        <f>Założenia!H255</f>
        <v>38735.5</v>
      </c>
      <c r="J46" s="91">
        <f>Założenia!I255</f>
        <v>38735.5</v>
      </c>
      <c r="K46" s="91">
        <f>Założenia!J255</f>
        <v>38735.5</v>
      </c>
      <c r="L46" s="91">
        <f>Założenia!K255</f>
        <v>38735.5</v>
      </c>
      <c r="M46" s="91">
        <f>Założenia!L255</f>
        <v>38735.5</v>
      </c>
      <c r="N46" s="91">
        <f>Założenia!M255</f>
        <v>38735.5</v>
      </c>
      <c r="O46" s="91">
        <f>Założenia!N255</f>
        <v>38735.5</v>
      </c>
      <c r="P46" s="91">
        <f>Założenia!O255</f>
        <v>38735.5</v>
      </c>
      <c r="Q46" s="91">
        <f>Założenia!P255</f>
        <v>38735.5</v>
      </c>
      <c r="R46" s="91">
        <f>Założenia!Q255</f>
        <v>38735.5</v>
      </c>
      <c r="S46" s="91">
        <f>Założenia!R255</f>
        <v>38735.5</v>
      </c>
      <c r="T46" s="91">
        <f>Założenia!S255</f>
        <v>38735.5</v>
      </c>
      <c r="U46" s="11"/>
    </row>
    <row r="47" spans="1:21" s="23" customFormat="1">
      <c r="A47" s="82"/>
      <c r="B47" s="96" t="s">
        <v>434</v>
      </c>
      <c r="C47" s="175" t="s">
        <v>134</v>
      </c>
      <c r="D47" s="175"/>
      <c r="E47" s="91">
        <f>Założenia!D257</f>
        <v>56133.482352941181</v>
      </c>
      <c r="F47" s="91">
        <f>Założenia!E257</f>
        <v>56133.482352941181</v>
      </c>
      <c r="G47" s="91">
        <f>Założenia!F257</f>
        <v>56133.482352941181</v>
      </c>
      <c r="H47" s="91">
        <f>Założenia!G257</f>
        <v>55516.9</v>
      </c>
      <c r="I47" s="91">
        <f>Założenia!H257</f>
        <v>55516.9</v>
      </c>
      <c r="J47" s="91">
        <f>Założenia!I257</f>
        <v>55516.9</v>
      </c>
      <c r="K47" s="91">
        <f>Założenia!J257</f>
        <v>49788.805263157905</v>
      </c>
      <c r="L47" s="91">
        <f>Założenia!K257</f>
        <v>49788.805263157905</v>
      </c>
      <c r="M47" s="91">
        <f>Założenia!L257</f>
        <v>49788.805263157905</v>
      </c>
      <c r="N47" s="91">
        <f>Założenia!M257</f>
        <v>49788.805263157905</v>
      </c>
      <c r="O47" s="91">
        <f>Założenia!N257</f>
        <v>49788.805263157905</v>
      </c>
      <c r="P47" s="91">
        <f>Założenia!O257</f>
        <v>49788.805263157905</v>
      </c>
      <c r="Q47" s="91">
        <f>Założenia!P257</f>
        <v>49788.805263157905</v>
      </c>
      <c r="R47" s="91">
        <f>Założenia!Q257</f>
        <v>49788.805263157905</v>
      </c>
      <c r="S47" s="91">
        <f>Założenia!R257</f>
        <v>49788.805263157905</v>
      </c>
      <c r="T47" s="91">
        <f>Założenia!S257</f>
        <v>49788.805263157905</v>
      </c>
      <c r="U47" s="11"/>
    </row>
    <row r="48" spans="1:21" s="23" customFormat="1">
      <c r="A48" s="82"/>
      <c r="B48" s="96" t="s">
        <v>435</v>
      </c>
      <c r="C48" s="175" t="s">
        <v>134</v>
      </c>
      <c r="D48" s="175"/>
      <c r="E48" s="91">
        <f>Założenia!D258</f>
        <v>0</v>
      </c>
      <c r="F48" s="91">
        <f>Założenia!E258</f>
        <v>0</v>
      </c>
      <c r="G48" s="91">
        <f>Założenia!F258</f>
        <v>0</v>
      </c>
      <c r="H48" s="91">
        <f>Założenia!G258</f>
        <v>0</v>
      </c>
      <c r="I48" s="91">
        <f>Założenia!H258</f>
        <v>0</v>
      </c>
      <c r="J48" s="91">
        <f>Założenia!I258</f>
        <v>0</v>
      </c>
      <c r="K48" s="91">
        <f>Założenia!J258</f>
        <v>0</v>
      </c>
      <c r="L48" s="91">
        <f>Założenia!K258</f>
        <v>0</v>
      </c>
      <c r="M48" s="91">
        <f>Założenia!L258</f>
        <v>0</v>
      </c>
      <c r="N48" s="91">
        <f>Założenia!M258</f>
        <v>0</v>
      </c>
      <c r="O48" s="91">
        <f>Założenia!N258</f>
        <v>0</v>
      </c>
      <c r="P48" s="91">
        <f>Założenia!O258</f>
        <v>0</v>
      </c>
      <c r="Q48" s="91">
        <f>Założenia!P258</f>
        <v>0</v>
      </c>
      <c r="R48" s="91">
        <f>Założenia!Q258</f>
        <v>0</v>
      </c>
      <c r="S48" s="91">
        <f>Założenia!R258</f>
        <v>0</v>
      </c>
      <c r="T48" s="91">
        <f>Założenia!S258</f>
        <v>0</v>
      </c>
      <c r="U48" s="11"/>
    </row>
    <row r="49" spans="1:21" s="23" customFormat="1" ht="13.5">
      <c r="A49" s="82"/>
      <c r="B49" s="96" t="s">
        <v>226</v>
      </c>
      <c r="C49" s="175" t="s">
        <v>215</v>
      </c>
      <c r="D49" s="175"/>
      <c r="E49" s="91">
        <f>E50+E57</f>
        <v>646.90998909411769</v>
      </c>
      <c r="F49" s="91">
        <f t="shared" ref="F49:T49" si="11">F50+F57</f>
        <v>640.46920761505351</v>
      </c>
      <c r="G49" s="91">
        <f t="shared" si="11"/>
        <v>639.89252509098935</v>
      </c>
      <c r="H49" s="91">
        <f t="shared" si="11"/>
        <v>638.71476726016044</v>
      </c>
      <c r="I49" s="91">
        <f t="shared" si="11"/>
        <v>638.13808473609618</v>
      </c>
      <c r="J49" s="91">
        <f t="shared" si="11"/>
        <v>636.69637842593579</v>
      </c>
      <c r="K49" s="91">
        <f t="shared" si="11"/>
        <v>629.67063896156503</v>
      </c>
      <c r="L49" s="91">
        <f t="shared" si="11"/>
        <v>630.89761261350975</v>
      </c>
      <c r="M49" s="91">
        <f t="shared" si="11"/>
        <v>629.45590630334937</v>
      </c>
      <c r="N49" s="91">
        <f t="shared" si="11"/>
        <v>628.01419999318898</v>
      </c>
      <c r="O49" s="91">
        <f t="shared" si="11"/>
        <v>625.41912863490018</v>
      </c>
      <c r="P49" s="91">
        <f t="shared" si="11"/>
        <v>622.82405727661137</v>
      </c>
      <c r="Q49" s="91">
        <f t="shared" si="11"/>
        <v>620.22898591832268</v>
      </c>
      <c r="R49" s="91">
        <f t="shared" si="11"/>
        <v>617.63391456003387</v>
      </c>
      <c r="S49" s="91">
        <f t="shared" si="11"/>
        <v>615.03884320174507</v>
      </c>
      <c r="T49" s="91">
        <f t="shared" si="11"/>
        <v>611.79500400388406</v>
      </c>
      <c r="U49" s="11"/>
    </row>
    <row r="50" spans="1:21" s="23" customFormat="1" ht="13.5">
      <c r="A50" s="82"/>
      <c r="B50" s="133" t="s">
        <v>314</v>
      </c>
      <c r="C50" s="175" t="s">
        <v>215</v>
      </c>
      <c r="D50" s="175"/>
      <c r="E50" s="91">
        <f>SUM(E51:E56)</f>
        <v>589.81841921176476</v>
      </c>
      <c r="F50" s="91">
        <f t="shared" ref="F50:T50" si="12">SUM(F51:F56)</f>
        <v>583.95432025676473</v>
      </c>
      <c r="G50" s="91">
        <f t="shared" si="12"/>
        <v>583.95432025676473</v>
      </c>
      <c r="H50" s="91">
        <f t="shared" si="12"/>
        <v>583.35324494999998</v>
      </c>
      <c r="I50" s="91">
        <f t="shared" si="12"/>
        <v>583.35324494999998</v>
      </c>
      <c r="J50" s="91">
        <f t="shared" si="12"/>
        <v>583.35324494999998</v>
      </c>
      <c r="K50" s="91">
        <f t="shared" si="12"/>
        <v>577.7692117957896</v>
      </c>
      <c r="L50" s="91">
        <f t="shared" si="12"/>
        <v>580.43789175789482</v>
      </c>
      <c r="M50" s="91">
        <f t="shared" si="12"/>
        <v>580.43789175789482</v>
      </c>
      <c r="N50" s="91">
        <f t="shared" si="12"/>
        <v>580.43789175789482</v>
      </c>
      <c r="O50" s="91">
        <f t="shared" si="12"/>
        <v>580.43789175789482</v>
      </c>
      <c r="P50" s="91">
        <f t="shared" si="12"/>
        <v>580.43789175789482</v>
      </c>
      <c r="Q50" s="91">
        <f t="shared" si="12"/>
        <v>580.43789175789482</v>
      </c>
      <c r="R50" s="91">
        <f t="shared" si="12"/>
        <v>580.43789175789482</v>
      </c>
      <c r="S50" s="91">
        <f t="shared" si="12"/>
        <v>580.43789175789482</v>
      </c>
      <c r="T50" s="91">
        <f t="shared" si="12"/>
        <v>580.43789175789482</v>
      </c>
      <c r="U50" s="11"/>
    </row>
    <row r="51" spans="1:21" s="23" customFormat="1" ht="13.5">
      <c r="A51" s="82"/>
      <c r="B51" s="93" t="s">
        <v>361</v>
      </c>
      <c r="C51" s="175" t="s">
        <v>215</v>
      </c>
      <c r="D51" s="175"/>
      <c r="E51" s="91">
        <f>Założenia!D224*E$45*E$43/1000*Założenia!$E51/100+Założenia!D236*E$47*E$43/1000*Założenia!$G51/100</f>
        <v>0</v>
      </c>
      <c r="F51" s="91">
        <f>Założenia!E224*F$45*F$43/1000*Założenia!$E51/100+Założenia!E236*F$47*F$43/1000*Założenia!$G51/100</f>
        <v>0</v>
      </c>
      <c r="G51" s="91">
        <f>Założenia!F224*G$45*G$43/1000*Założenia!$E51/100+Założenia!F236*G$47*G$43/1000*Założenia!$G51/100</f>
        <v>0</v>
      </c>
      <c r="H51" s="91">
        <f>Założenia!G224*H$45*H$43/1000*Założenia!$E51/100+Założenia!G236*H$47*H$43/1000*Założenia!$G51/100</f>
        <v>0</v>
      </c>
      <c r="I51" s="91">
        <f>Założenia!H224*I$45*I$43/1000*Założenia!$E51/100+Założenia!H236*I$47*I$43/1000*Założenia!$G51/100</f>
        <v>0</v>
      </c>
      <c r="J51" s="91">
        <f>Założenia!I224*J$45*J$43/1000*Założenia!$E51/100+Założenia!I236*J$47*J$43/1000*Założenia!$G51/100</f>
        <v>0</v>
      </c>
      <c r="K51" s="91">
        <f>Założenia!J224*K$45*K$43/1000*Założenia!$E51/100+Założenia!J236*K$47*K$43/1000*Założenia!$G51/100</f>
        <v>0</v>
      </c>
      <c r="L51" s="91">
        <f>Założenia!K224*L$45*L$43/1000*Założenia!$E51/100+Założenia!K236*L$47*L$43/1000*Założenia!$G51/100</f>
        <v>0</v>
      </c>
      <c r="M51" s="91">
        <f>Założenia!L224*M$45*M$43/1000*Założenia!$E51/100+Założenia!L236*M$47*M$43/1000*Założenia!$G51/100</f>
        <v>0</v>
      </c>
      <c r="N51" s="91">
        <f>Założenia!M224*N$45*N$43/1000*Założenia!$E51/100+Założenia!M236*N$47*N$43/1000*Założenia!$G51/100</f>
        <v>0</v>
      </c>
      <c r="O51" s="91">
        <f>Założenia!N224*O$45*O$43/1000*Założenia!$E51/100+Założenia!N236*O$47*O$43/1000*Założenia!$G51/100</f>
        <v>0</v>
      </c>
      <c r="P51" s="91">
        <f>Założenia!O224*P$45*P$43/1000*Założenia!$E51/100+Założenia!O236*P$47*P$43/1000*Założenia!$G51/100</f>
        <v>0</v>
      </c>
      <c r="Q51" s="91">
        <f>Założenia!P224*Q$45*Q$43/1000*Założenia!$E51/100+Założenia!P236*Q$47*Q$43/1000*Założenia!$G51/100</f>
        <v>0</v>
      </c>
      <c r="R51" s="91">
        <f>Założenia!Q224*R$45*R$43/1000*Założenia!$E51/100+Założenia!Q236*R$47*R$43/1000*Założenia!$G51/100</f>
        <v>0</v>
      </c>
      <c r="S51" s="91">
        <f>Założenia!R224*S$45*S$43/1000*Założenia!$E51/100+Założenia!R236*S$47*S$43/1000*Założenia!$G51/100</f>
        <v>0</v>
      </c>
      <c r="T51" s="91">
        <f>Założenia!S224*T$45*T$43/1000*Założenia!$E51/100+Założenia!S236*T$47*T$43/1000*Założenia!$G51/100</f>
        <v>0</v>
      </c>
      <c r="U51" s="11"/>
    </row>
    <row r="52" spans="1:21" s="1" customFormat="1" ht="13.5">
      <c r="A52" s="82"/>
      <c r="B52" s="93" t="s">
        <v>362</v>
      </c>
      <c r="C52" s="175" t="s">
        <v>215</v>
      </c>
      <c r="D52" s="252"/>
      <c r="E52" s="91">
        <f>Założenia!D225*E$45*E$43/1000*Założenia!$E52/100+Założenia!D237*E$47*E$43/1000*Założenia!$G52/100</f>
        <v>0</v>
      </c>
      <c r="F52" s="91">
        <f>Założenia!E225*F$45*F$43/1000*Założenia!$E52/100+Założenia!E237*F$47*F$43/1000*Założenia!$G52/100</f>
        <v>0</v>
      </c>
      <c r="G52" s="91">
        <f>Założenia!F225*G$45*G$43/1000*Założenia!$E52/100+Założenia!F237*G$47*G$43/1000*Założenia!$G52/100</f>
        <v>0</v>
      </c>
      <c r="H52" s="91">
        <f>Założenia!G225*H$45*H$43/1000*Założenia!$E52/100+Założenia!G237*H$47*H$43/1000*Założenia!$G52/100</f>
        <v>0</v>
      </c>
      <c r="I52" s="91">
        <f>Założenia!H225*I$45*I$43/1000*Założenia!$E52/100+Założenia!H237*I$47*I$43/1000*Założenia!$G52/100</f>
        <v>0</v>
      </c>
      <c r="J52" s="91">
        <f>Założenia!I225*J$45*J$43/1000*Założenia!$E52/100+Założenia!I237*J$47*J$43/1000*Założenia!$G52/100</f>
        <v>0</v>
      </c>
      <c r="K52" s="91">
        <f>Założenia!J225*K$45*K$43/1000*Założenia!$E52/100+Założenia!J237*K$47*K$43/1000*Założenia!$G52/100</f>
        <v>0</v>
      </c>
      <c r="L52" s="91">
        <f>Założenia!K225*L$45*L$43/1000*Założenia!$E52/100+Założenia!K237*L$47*L$43/1000*Założenia!$G52/100</f>
        <v>0</v>
      </c>
      <c r="M52" s="91">
        <f>Założenia!L225*M$45*M$43/1000*Założenia!$E52/100+Założenia!L237*M$47*M$43/1000*Założenia!$G52/100</f>
        <v>0</v>
      </c>
      <c r="N52" s="91">
        <f>Założenia!M225*N$45*N$43/1000*Założenia!$E52/100+Założenia!M237*N$47*N$43/1000*Założenia!$G52/100</f>
        <v>0</v>
      </c>
      <c r="O52" s="91">
        <f>Założenia!N225*O$45*O$43/1000*Założenia!$E52/100+Założenia!N237*O$47*O$43/1000*Założenia!$G52/100</f>
        <v>0</v>
      </c>
      <c r="P52" s="91">
        <f>Założenia!O225*P$45*P$43/1000*Założenia!$E52/100+Założenia!O237*P$47*P$43/1000*Założenia!$G52/100</f>
        <v>0</v>
      </c>
      <c r="Q52" s="91">
        <f>Założenia!P225*Q$45*Q$43/1000*Założenia!$E52/100+Założenia!P237*Q$47*Q$43/1000*Założenia!$G52/100</f>
        <v>0</v>
      </c>
      <c r="R52" s="91">
        <f>Założenia!Q225*R$45*R$43/1000*Założenia!$E52/100+Założenia!Q237*R$47*R$43/1000*Założenia!$G52/100</f>
        <v>0</v>
      </c>
      <c r="S52" s="91">
        <f>Założenia!R225*S$45*S$43/1000*Założenia!$E52/100+Założenia!R237*S$47*S$43/1000*Założenia!$G52/100</f>
        <v>0</v>
      </c>
      <c r="T52" s="91">
        <f>Założenia!S225*T$45*T$43/1000*Założenia!$E52/100+Założenia!S237*T$47*T$43/1000*Założenia!$G52/100</f>
        <v>0</v>
      </c>
    </row>
    <row r="53" spans="1:21" s="1" customFormat="1" ht="13.5">
      <c r="A53" s="82"/>
      <c r="B53" s="93" t="s">
        <v>363</v>
      </c>
      <c r="C53" s="175" t="s">
        <v>215</v>
      </c>
      <c r="D53" s="252"/>
      <c r="E53" s="91">
        <f>Założenia!D226*E$45*E$43/1000*Założenia!$E53/100+Założenia!D238*E$47*E$43/1000*Założenia!$G53/100</f>
        <v>0</v>
      </c>
      <c r="F53" s="91">
        <f>Założenia!E226*F$45*F$43/1000*Założenia!$E53/100+Założenia!E238*F$47*F$43/1000*Założenia!$G53/100</f>
        <v>0</v>
      </c>
      <c r="G53" s="91">
        <f>Założenia!F226*G$45*G$43/1000*Założenia!$E53/100+Założenia!F238*G$47*G$43/1000*Założenia!$G53/100</f>
        <v>0</v>
      </c>
      <c r="H53" s="91">
        <f>Założenia!G226*H$45*H$43/1000*Założenia!$E53/100+Założenia!G238*H$47*H$43/1000*Założenia!$G53/100</f>
        <v>0</v>
      </c>
      <c r="I53" s="91">
        <f>Założenia!H226*I$45*I$43/1000*Założenia!$E53/100+Założenia!H238*I$47*I$43/1000*Założenia!$G53/100</f>
        <v>0</v>
      </c>
      <c r="J53" s="91">
        <f>Założenia!I226*J$45*J$43/1000*Założenia!$E53/100+Założenia!I238*J$47*J$43/1000*Założenia!$G53/100</f>
        <v>0</v>
      </c>
      <c r="K53" s="91">
        <f>Założenia!J226*K$45*K$43/1000*Założenia!$E53/100+Założenia!J238*K$47*K$43/1000*Założenia!$G53/100</f>
        <v>0</v>
      </c>
      <c r="L53" s="91">
        <f>Założenia!K226*L$45*L$43/1000*Założenia!$E53/100+Założenia!K238*L$47*L$43/1000*Założenia!$G53/100</f>
        <v>0</v>
      </c>
      <c r="M53" s="91">
        <f>Założenia!L226*M$45*M$43/1000*Założenia!$E53/100+Założenia!L238*M$47*M$43/1000*Założenia!$G53/100</f>
        <v>0</v>
      </c>
      <c r="N53" s="91">
        <f>Założenia!M226*N$45*N$43/1000*Założenia!$E53/100+Założenia!M238*N$47*N$43/1000*Założenia!$G53/100</f>
        <v>0</v>
      </c>
      <c r="O53" s="91">
        <f>Założenia!N226*O$45*O$43/1000*Założenia!$E53/100+Założenia!N238*O$47*O$43/1000*Założenia!$G53/100</f>
        <v>0</v>
      </c>
      <c r="P53" s="91">
        <f>Założenia!O226*P$45*P$43/1000*Założenia!$E53/100+Założenia!O238*P$47*P$43/1000*Założenia!$G53/100</f>
        <v>0</v>
      </c>
      <c r="Q53" s="91">
        <f>Założenia!P226*Q$45*Q$43/1000*Założenia!$E53/100+Założenia!P238*Q$47*Q$43/1000*Założenia!$G53/100</f>
        <v>0</v>
      </c>
      <c r="R53" s="91">
        <f>Założenia!Q226*R$45*R$43/1000*Założenia!$E53/100+Założenia!Q238*R$47*R$43/1000*Założenia!$G53/100</f>
        <v>0</v>
      </c>
      <c r="S53" s="91">
        <f>Założenia!R226*S$45*S$43/1000*Założenia!$E53/100+Założenia!R238*S$47*S$43/1000*Założenia!$G53/100</f>
        <v>0</v>
      </c>
      <c r="T53" s="91">
        <f>Założenia!S226*T$45*T$43/1000*Założenia!$E53/100+Założenia!S238*T$47*T$43/1000*Założenia!$G53/100</f>
        <v>0</v>
      </c>
    </row>
    <row r="54" spans="1:21" s="1" customFormat="1" ht="13.5">
      <c r="A54" s="82"/>
      <c r="B54" s="93" t="s">
        <v>364</v>
      </c>
      <c r="C54" s="175" t="s">
        <v>215</v>
      </c>
      <c r="D54" s="252"/>
      <c r="E54" s="91">
        <f>Założenia!D227*E$45*E$43/1000*Założenia!$E54/100+Założenia!D239*E$47*E$43/1000*Założenia!$G54/100</f>
        <v>0</v>
      </c>
      <c r="F54" s="91">
        <f>Założenia!E227*F$45*F$43/1000*Założenia!$E54/100+Założenia!E239*F$47*F$43/1000*Założenia!$G54/100</f>
        <v>0</v>
      </c>
      <c r="G54" s="91">
        <f>Założenia!F227*G$45*G$43/1000*Założenia!$E54/100+Założenia!F239*G$47*G$43/1000*Założenia!$G54/100</f>
        <v>0</v>
      </c>
      <c r="H54" s="91">
        <f>Założenia!G227*H$45*H$43/1000*Założenia!$E54/100+Założenia!G239*H$47*H$43/1000*Założenia!$G54/100</f>
        <v>0</v>
      </c>
      <c r="I54" s="91">
        <f>Założenia!H227*I$45*I$43/1000*Założenia!$E54/100+Założenia!H239*I$47*I$43/1000*Założenia!$G54/100</f>
        <v>0</v>
      </c>
      <c r="J54" s="91">
        <f>Założenia!I227*J$45*J$43/1000*Założenia!$E54/100+Założenia!I239*J$47*J$43/1000*Założenia!$G54/100</f>
        <v>0</v>
      </c>
      <c r="K54" s="91">
        <f>Założenia!J227*K$45*K$43/1000*Założenia!$E54/100+Założenia!J239*K$47*K$43/1000*Założenia!$G54/100</f>
        <v>0</v>
      </c>
      <c r="L54" s="91">
        <f>Założenia!K227*L$45*L$43/1000*Założenia!$E54/100+Założenia!K239*L$47*L$43/1000*Założenia!$G54/100</f>
        <v>0</v>
      </c>
      <c r="M54" s="91">
        <f>Założenia!L227*M$45*M$43/1000*Założenia!$E54/100+Założenia!L239*M$47*M$43/1000*Założenia!$G54/100</f>
        <v>0</v>
      </c>
      <c r="N54" s="91">
        <f>Założenia!M227*N$45*N$43/1000*Założenia!$E54/100+Założenia!M239*N$47*N$43/1000*Założenia!$G54/100</f>
        <v>0</v>
      </c>
      <c r="O54" s="91">
        <f>Założenia!N227*O$45*O$43/1000*Założenia!$E54/100+Założenia!N239*O$47*O$43/1000*Założenia!$G54/100</f>
        <v>0</v>
      </c>
      <c r="P54" s="91">
        <f>Założenia!O227*P$45*P$43/1000*Założenia!$E54/100+Założenia!O239*P$47*P$43/1000*Założenia!$G54/100</f>
        <v>0</v>
      </c>
      <c r="Q54" s="91">
        <f>Założenia!P227*Q$45*Q$43/1000*Założenia!$E54/100+Założenia!P239*Q$47*Q$43/1000*Założenia!$G54/100</f>
        <v>0</v>
      </c>
      <c r="R54" s="91">
        <f>Założenia!Q227*R$45*R$43/1000*Założenia!$E54/100+Założenia!Q239*R$47*R$43/1000*Założenia!$G54/100</f>
        <v>0</v>
      </c>
      <c r="S54" s="91">
        <f>Założenia!R227*S$45*S$43/1000*Założenia!$E54/100+Założenia!R239*S$47*S$43/1000*Założenia!$G54/100</f>
        <v>0</v>
      </c>
      <c r="T54" s="91">
        <f>Założenia!S227*T$45*T$43/1000*Założenia!$E54/100+Założenia!S239*T$47*T$43/1000*Założenia!$G54/100</f>
        <v>0</v>
      </c>
    </row>
    <row r="55" spans="1:21" s="1" customFormat="1" ht="13.5">
      <c r="A55" s="82"/>
      <c r="B55" s="93" t="s">
        <v>365</v>
      </c>
      <c r="C55" s="175" t="s">
        <v>215</v>
      </c>
      <c r="D55" s="252"/>
      <c r="E55" s="91">
        <f>Założenia!D228*E$45*E$43/1000*Założenia!$E55/100+Założenia!D230*E$45*E$43/1000*Założenia!$E163/100+Założenia!D240*E$47*E$43/1000*Założenia!$G55/100</f>
        <v>52.800606447058826</v>
      </c>
      <c r="F55" s="91">
        <f>Założenia!E228*F$45*F$43/1000*Założenia!$E55/100+Założenia!E230*F$45*F$43/1000*Założenia!$E163/100+Założenia!E240*F$47*F$43/1000*Założenia!$G55/100</f>
        <v>52.098319147058817</v>
      </c>
      <c r="G55" s="91">
        <f>Założenia!F228*G$45*G$43/1000*Założenia!$E55/100+Założenia!F230*G$45*G$43/1000*Założenia!$E163/100+Założenia!F240*G$47*G$43/1000*Założenia!$G55/100</f>
        <v>52.098319147058817</v>
      </c>
      <c r="H55" s="91">
        <f>Założenia!G228*H$45*H$43/1000*Założenia!$E55/100+Założenia!G230*H$45*H$43/1000*Założenia!$E163/100+Założenia!G240*H$47*H$43/1000*Założenia!$G55/100</f>
        <v>52.2222522</v>
      </c>
      <c r="I55" s="91">
        <f>Założenia!H228*I$45*I$43/1000*Założenia!$E55/100+Założenia!H230*I$45*I$43/1000*Założenia!$E163/100+Założenia!H240*I$47*I$43/1000*Założenia!$G55/100</f>
        <v>52.2222522</v>
      </c>
      <c r="J55" s="91">
        <f>Założenia!I228*J$45*J$43/1000*Założenia!$E55/100+Założenia!I230*J$45*J$43/1000*Założenia!$E163/100+Założenia!I240*J$47*J$43/1000*Założenia!$G55/100</f>
        <v>52.2222522</v>
      </c>
      <c r="K55" s="91">
        <f>Założenia!J228*K$45*K$43/1000*Założenia!$E55/100+Założenia!J230*K$45*K$43/1000*Założenia!$E163/100+Założenia!J240*K$47*K$43/1000*Założenia!$G55/100</f>
        <v>53.373599242105264</v>
      </c>
      <c r="L55" s="91">
        <f>Założenia!K228*L$45*L$43/1000*Założenia!$E55/100+Założenia!K230*L$45*L$43/1000*Założenia!$E163/100+Założenia!K240*L$47*L$43/1000*Założenia!$G55/100</f>
        <v>0</v>
      </c>
      <c r="M55" s="91">
        <f>Założenia!L228*M$45*M$43/1000*Założenia!$E55/100+Założenia!L230*M$45*M$43/1000*Założenia!$E163/100+Założenia!L240*M$47*M$43/1000*Założenia!$G55/100</f>
        <v>0</v>
      </c>
      <c r="N55" s="91">
        <f>Założenia!M228*N$45*N$43/1000*Założenia!$E55/100+Założenia!M230*N$45*N$43/1000*Założenia!$E163/100+Założenia!M240*N$47*N$43/1000*Założenia!$G55/100</f>
        <v>0</v>
      </c>
      <c r="O55" s="91">
        <f>Założenia!N228*O$45*O$43/1000*Założenia!$E55/100+Założenia!N230*O$45*O$43/1000*Założenia!$E163/100+Założenia!N240*O$47*O$43/1000*Założenia!$G55/100</f>
        <v>0</v>
      </c>
      <c r="P55" s="91">
        <f>Założenia!O228*P$45*P$43/1000*Założenia!$E55/100+Założenia!O230*P$45*P$43/1000*Założenia!$E163/100+Założenia!O240*P$47*P$43/1000*Założenia!$G55/100</f>
        <v>0</v>
      </c>
      <c r="Q55" s="91">
        <f>Założenia!P228*Q$45*Q$43/1000*Założenia!$E55/100+Założenia!P230*Q$45*Q$43/1000*Założenia!$E163/100+Założenia!P240*Q$47*Q$43/1000*Założenia!$G55/100</f>
        <v>0</v>
      </c>
      <c r="R55" s="91">
        <f>Założenia!Q228*R$45*R$43/1000*Założenia!$E55/100+Założenia!Q230*R$45*R$43/1000*Założenia!$E163/100+Założenia!Q240*R$47*R$43/1000*Założenia!$G55/100</f>
        <v>0</v>
      </c>
      <c r="S55" s="91">
        <f>Założenia!R228*S$45*S$43/1000*Założenia!$E55/100+Założenia!R230*S$45*S$43/1000*Założenia!$E163/100+Założenia!R240*S$47*S$43/1000*Założenia!$G55/100</f>
        <v>0</v>
      </c>
      <c r="T55" s="91">
        <f>Założenia!S228*T$45*T$43/1000*Założenia!$E55/100+Założenia!S230*T$45*T$43/1000*Założenia!$E163/100+Założenia!S240*T$47*T$43/1000*Założenia!$G55/100</f>
        <v>0</v>
      </c>
    </row>
    <row r="56" spans="1:21" s="1" customFormat="1" ht="13.5">
      <c r="A56" s="82"/>
      <c r="B56" s="93" t="s">
        <v>367</v>
      </c>
      <c r="C56" s="175" t="s">
        <v>215</v>
      </c>
      <c r="D56" s="252"/>
      <c r="E56" s="91">
        <f>+Założenia!D229*E$45*E$43/1000*Założenia!$E56/100+Założenia!D231*E$45*E$43/1000*Założenia!$E163/100+Założenia!D241*E$47*E$43/1000*Założenia!$G56/100+Założenia!D242*E$47*E$43/1000*Założenia!$E164/100</f>
        <v>537.01781276470592</v>
      </c>
      <c r="F56" s="91">
        <f>+Założenia!E229*F$45*F$43/1000*Założenia!$E56/100+Założenia!E231*F$45*F$43/1000*Założenia!$E163/100+Założenia!E241*F$47*F$43/1000*Założenia!$G56/100+Założenia!E242*F$47*F$43/1000*Założenia!$E164/100</f>
        <v>531.85600110970586</v>
      </c>
      <c r="G56" s="91">
        <f>+Założenia!F229*G$45*G$43/1000*Założenia!$E56/100+Założenia!F231*G$45*G$43/1000*Założenia!$E163/100+Założenia!F241*G$47*G$43/1000*Założenia!$G56/100+Założenia!F242*G$47*G$43/1000*Założenia!$E164/100</f>
        <v>531.85600110970586</v>
      </c>
      <c r="H56" s="91">
        <f>+Założenia!G229*H$45*H$43/1000*Założenia!$E56/100+Założenia!G231*H$45*H$43/1000*Założenia!$E163/100+Założenia!G241*H$47*H$43/1000*Założenia!$G56/100+Założenia!G242*H$47*H$43/1000*Założenia!$E164/100</f>
        <v>531.13099275000002</v>
      </c>
      <c r="I56" s="91">
        <f>+Założenia!H229*I$45*I$43/1000*Założenia!$E56/100+Założenia!H231*I$45*I$43/1000*Założenia!$E163/100+Założenia!H241*I$47*I$43/1000*Założenia!$G56/100+Założenia!H242*I$47*I$43/1000*Założenia!$E164/100</f>
        <v>531.13099275000002</v>
      </c>
      <c r="J56" s="91">
        <f>+Założenia!I229*J$45*J$43/1000*Założenia!$E56/100+Założenia!I231*J$45*J$43/1000*Założenia!$E163/100+Założenia!I241*J$47*J$43/1000*Założenia!$G56/100+Założenia!I242*J$47*J$43/1000*Założenia!$E164/100</f>
        <v>531.13099275000002</v>
      </c>
      <c r="K56" s="91">
        <f>+Założenia!J229*K$45*K$43/1000*Założenia!$E56/100+Założenia!J231*K$45*K$43/1000*Założenia!$E163/100+Założenia!J241*K$47*K$43/1000*Założenia!$G56/100+Założenia!J242*K$47*K$43/1000*Założenia!$E164/100</f>
        <v>524.39561255368437</v>
      </c>
      <c r="L56" s="91">
        <f>+Założenia!K229*L$45*L$43/1000*Założenia!$E56/100+Założenia!K231*L$45*L$43/1000*Założenia!$E163/100+Założenia!K241*L$47*L$43/1000*Założenia!$G56/100+Założenia!K242*L$47*L$43/1000*Założenia!$E164/100</f>
        <v>580.43789175789482</v>
      </c>
      <c r="M56" s="91">
        <f>+Założenia!L229*M$45*M$43/1000*Założenia!$E56/100+Założenia!L231*M$45*M$43/1000*Założenia!$E163/100+Założenia!L241*M$47*M$43/1000*Założenia!$G56/100+Założenia!L242*M$47*M$43/1000*Założenia!$E164/100</f>
        <v>580.43789175789482</v>
      </c>
      <c r="N56" s="91">
        <f>+Założenia!M229*N$45*N$43/1000*Założenia!$E56/100+Założenia!M231*N$45*N$43/1000*Założenia!$E163/100+Założenia!M241*N$47*N$43/1000*Założenia!$G56/100+Założenia!M242*N$47*N$43/1000*Założenia!$E164/100</f>
        <v>580.43789175789482</v>
      </c>
      <c r="O56" s="91">
        <f>+Założenia!N229*O$45*O$43/1000*Założenia!$E56/100+Założenia!N231*O$45*O$43/1000*Założenia!$E163/100+Założenia!N241*O$47*O$43/1000*Założenia!$G56/100+Założenia!N242*O$47*O$43/1000*Założenia!$E164/100</f>
        <v>580.43789175789482</v>
      </c>
      <c r="P56" s="91">
        <f>+Założenia!O229*P$45*P$43/1000*Założenia!$E56/100+Założenia!O231*P$45*P$43/1000*Założenia!$E163/100+Założenia!O241*P$47*P$43/1000*Założenia!$G56/100+Założenia!O242*P$47*P$43/1000*Założenia!$E164/100</f>
        <v>580.43789175789482</v>
      </c>
      <c r="Q56" s="91">
        <f>+Założenia!P229*Q$45*Q$43/1000*Założenia!$E56/100+Założenia!P231*Q$45*Q$43/1000*Założenia!$E163/100+Założenia!P241*Q$47*Q$43/1000*Założenia!$G56/100+Założenia!P242*Q$47*Q$43/1000*Założenia!$E164/100</f>
        <v>580.43789175789482</v>
      </c>
      <c r="R56" s="91">
        <f>+Założenia!Q229*R$45*R$43/1000*Założenia!$E56/100+Założenia!Q231*R$45*R$43/1000*Założenia!$E163/100+Założenia!Q241*R$47*R$43/1000*Założenia!$G56/100+Założenia!Q242*R$47*R$43/1000*Założenia!$E164/100</f>
        <v>580.43789175789482</v>
      </c>
      <c r="S56" s="91">
        <f>+Założenia!R229*S$45*S$43/1000*Założenia!$E56/100+Założenia!R231*S$45*S$43/1000*Założenia!$E163/100+Założenia!R241*S$47*S$43/1000*Założenia!$G56/100+Założenia!R242*S$47*S$43/1000*Założenia!$E164/100</f>
        <v>580.43789175789482</v>
      </c>
      <c r="T56" s="91">
        <f>+Założenia!S229*T$45*T$43/1000*Założenia!$E56/100+Założenia!S231*T$45*T$43/1000*Założenia!$E163/100+Założenia!S241*T$47*T$43/1000*Założenia!$G56/100+Założenia!S242*T$47*T$43/1000*Założenia!$E164/100</f>
        <v>580.43789175789482</v>
      </c>
    </row>
    <row r="57" spans="1:21" s="1" customFormat="1" ht="13.5">
      <c r="A57" s="82"/>
      <c r="B57" s="94" t="s">
        <v>313</v>
      </c>
      <c r="C57" s="175" t="s">
        <v>215</v>
      </c>
      <c r="D57" s="252"/>
      <c r="E57" s="91">
        <f>E46*Założenia!D233*Założenia!$E$166*Założenia!$E$107*Założenia!E100/1000000+E48*Założenia!D243*Założenia!$E$167*Założenia!$E$107*Założenia!E100/1000000</f>
        <v>57.091569882352935</v>
      </c>
      <c r="F57" s="91">
        <f>F46*Założenia!E233*Założenia!$E$166*Założenia!$E$107*Założenia!F100/1000000+F48*Założenia!E243*Założenia!$E$167*Założenia!$E$107*Założenia!F100/1000000</f>
        <v>56.51488735828876</v>
      </c>
      <c r="G57" s="91">
        <f>G46*Założenia!F233*Założenia!$E$166*Założenia!$E$107*Założenia!G100/1000000+G48*Założenia!F243*Założenia!$E$167*Założenia!$E$107*Założenia!G100/1000000</f>
        <v>55.938204834224592</v>
      </c>
      <c r="H57" s="91">
        <f>H46*Założenia!G233*Założenia!$E$166*Założenia!$E$107*Założenia!H100/1000000+H48*Założenia!G243*Założenia!$E$167*Założenia!$E$107*Założenia!H100/1000000</f>
        <v>55.36152231016041</v>
      </c>
      <c r="I57" s="91">
        <f>I46*Założenia!H233*Założenia!$E$166*Założenia!$E$107*Założenia!I100/1000000+I48*Założenia!H243*Założenia!$E$167*Założenia!$E$107*Założenia!I100/1000000</f>
        <v>54.784839786096242</v>
      </c>
      <c r="J57" s="91">
        <f>J46*Założenia!I233*Założenia!$E$166*Założenia!$E$107*Założenia!J100/1000000+J48*Założenia!I243*Założenia!$E$167*Założenia!$E$107*Założenia!J100/1000000</f>
        <v>53.343133475935815</v>
      </c>
      <c r="K57" s="91">
        <f>K46*Założenia!J233*Założenia!$E$166*Założenia!$E$107*Założenia!K100/1000000+K48*Założenia!J243*Założenia!$E$167*Założenia!$E$107*Założenia!K100/1000000</f>
        <v>51.901427165775388</v>
      </c>
      <c r="L57" s="91">
        <f>L46*Założenia!K233*Założenia!$E$166*Założenia!$E$107*Założenia!L100/1000000+L48*Założenia!K243*Założenia!$E$167*Założenia!$E$107*Założenia!L100/1000000</f>
        <v>50.459720855614961</v>
      </c>
      <c r="M57" s="91">
        <f>M46*Założenia!L233*Założenia!$E$166*Założenia!$E$107*Założenia!M100/1000000+M48*Założenia!L243*Założenia!$E$167*Założenia!$E$107*Założenia!M100/1000000</f>
        <v>49.018014545454541</v>
      </c>
      <c r="N57" s="91">
        <f>N46*Założenia!M233*Założenia!$E$166*Założenia!$E$107*Założenia!N100/1000000+N48*Założenia!M243*Założenia!$E$167*Założenia!$E$107*Założenia!N100/1000000</f>
        <v>47.576308235294114</v>
      </c>
      <c r="O57" s="91">
        <f>O46*Założenia!N233*Założenia!$E$166*Założenia!$E$107*Założenia!O100/1000000+O48*Założenia!N243*Założenia!$E$167*Założenia!$E$107*Założenia!O100/1000000</f>
        <v>44.981236877005337</v>
      </c>
      <c r="P57" s="91">
        <f>P46*Założenia!O233*Założenia!$E$166*Założenia!$E$107*Założenia!P100/1000000+P48*Założenia!O243*Założenia!$E$167*Założenia!$E$107*Założenia!P100/1000000</f>
        <v>42.386165518716567</v>
      </c>
      <c r="Q57" s="91">
        <f>Q46*Założenia!P233*Założenia!$E$166*Założenia!$E$107*Założenia!Q100/1000000+Q48*Założenia!P243*Założenia!$E$167*Założenia!$E$107*Założenia!Q100/1000000</f>
        <v>39.791094160427804</v>
      </c>
      <c r="R57" s="91">
        <f>R46*Założenia!Q233*Założenia!$E$166*Założenia!$E$107*Założenia!R100/1000000+R48*Założenia!Q243*Założenia!$E$167*Założenia!$E$107*Założenia!R100/1000000</f>
        <v>37.196022802139026</v>
      </c>
      <c r="S57" s="91">
        <f>S46*Założenia!R233*Założenia!$E$166*Założenia!$E$107*Założenia!S100/1000000+S48*Założenia!R243*Założenia!$E$167*Założenia!$E$107*Założenia!S100/1000000</f>
        <v>34.600951443850263</v>
      </c>
      <c r="T57" s="91">
        <f>T46*Założenia!S233*Założenia!$E$166*Założenia!$E$107*Założenia!T100/1000000+T48*Założenia!S243*Założenia!$E$167*Założenia!$E$107*Założenia!T100/1000000</f>
        <v>31.357112245989299</v>
      </c>
    </row>
    <row r="58" spans="1:21" s="23" customFormat="1">
      <c r="A58" s="37" t="s">
        <v>34</v>
      </c>
      <c r="B58" s="133" t="s">
        <v>152</v>
      </c>
      <c r="C58" s="175" t="s">
        <v>0</v>
      </c>
      <c r="D58" s="175"/>
      <c r="E58" s="92">
        <f>((E60)*Założenia!E87+E67*Założenia!E87)+((E69)*Założenia!E90+E76*Założenia!E90)+((E78)*Założenia!E88+E85*Założenia!E88)</f>
        <v>102233.49015428929</v>
      </c>
      <c r="F58" s="92">
        <f>((F60)*Założenia!F87+F67*Założenia!F87)+((F69)*Założenia!F90+F76*Założenia!F90)+((F78)*Założenia!F88+F85*Założenia!F88)</f>
        <v>101737.56170562502</v>
      </c>
      <c r="G58" s="92">
        <f>((G60)*Założenia!G87+G67*Założenia!G87)+((G69)*Założenia!G90+G76*Założenia!G90)+((G78)*Założenia!G88+G85*Założenia!G88)</f>
        <v>103831.974362733</v>
      </c>
      <c r="H58" s="92">
        <f>((H60)*Założenia!H87+H67*Założenia!H87)+((H69)*Założenia!H90+H76*Założenia!H90)+((H78)*Założenia!H88+H85*Założenia!H88)</f>
        <v>106294.83658137689</v>
      </c>
      <c r="I58" s="92">
        <f>((I60)*Założenia!I87+I67*Założenia!I87)+((I69)*Założenia!I90+I76*Założenia!I90)+((I78)*Założenia!I88+I85*Założenia!I88)</f>
        <v>108986.71188638434</v>
      </c>
      <c r="J58" s="92">
        <f>((J60)*Założenia!J87+J67*Założenia!J87)+((J69)*Założenia!J90+J76*Założenia!J90)+((J78)*Założenia!J88+J85*Założenia!J88)</f>
        <v>111763.0581718193</v>
      </c>
      <c r="K58" s="92">
        <f>((K60)*Założenia!K87+K67*Założenia!K87)+((K69)*Założenia!K90+K76*Założenia!K90)+((K78)*Założenia!K88+K85*Założenia!K88)</f>
        <v>114331.61236790438</v>
      </c>
      <c r="L58" s="92">
        <f>((L60)*Założenia!L87+L67*Założenia!L87)+((L69)*Założenia!L90+L76*Założenia!L90)+((L78)*Założenia!L88+L85*Założenia!L88)</f>
        <v>89906.856668121138</v>
      </c>
      <c r="M58" s="92">
        <f>((M60)*Założenia!M87+M67*Założenia!M87)+((M69)*Założenia!M90+M76*Założenia!M90)+((M78)*Założenia!M88+M85*Założenia!M88)</f>
        <v>92069.123335944809</v>
      </c>
      <c r="N58" s="92">
        <f>((N60)*Założenia!N87+N67*Założenia!N87)+((N69)*Założenia!N90+N76*Założenia!N90)+((N78)*Założenia!N88+N85*Założenia!N88)</f>
        <v>94092.369379508265</v>
      </c>
      <c r="O58" s="92">
        <f>((O60)*Założenia!O87+O67*Założenia!O87)+((O69)*Założenia!O90+O76*Założenia!O90)+((O78)*Założenia!O88+O85*Założenia!O88)</f>
        <v>96097.730028193429</v>
      </c>
      <c r="P58" s="92">
        <f>((P60)*Założenia!P87+P67*Założenia!P87)+((P69)*Założenia!P90+P76*Założenia!P90)+((P78)*Założenia!P88+P85*Założenia!P88)</f>
        <v>98158.009785690447</v>
      </c>
      <c r="Q58" s="92">
        <f>((Q60)*Założenia!Q87+Q67*Założenia!Q87)+((Q69)*Założenia!Q90+Q76*Założenia!Q90)+((Q78)*Założenia!Q88+Q85*Założenia!Q88)</f>
        <v>100195.08751884494</v>
      </c>
      <c r="R58" s="92">
        <f>((R60)*Założenia!R87+R67*Założenia!R87)+((R69)*Założenia!R90+R76*Założenia!R90)+((R78)*Założenia!R88+R85*Założenia!R88)</f>
        <v>102204.06961627996</v>
      </c>
      <c r="S58" s="92">
        <f>((S60)*Założenia!S87+S67*Założenia!S87)+((S69)*Założenia!S90+S76*Założenia!S90)+((S78)*Założenia!S88+S85*Założenia!S88)</f>
        <v>104111.97598310605</v>
      </c>
      <c r="T58" s="92">
        <f>((T60)*Założenia!T87+T67*Założenia!T87)+((T69)*Założenia!T90+T76*Założenia!T90)+((T78)*Założenia!T88+T85*Założenia!T88)</f>
        <v>106191.71951115217</v>
      </c>
      <c r="U58" s="11"/>
    </row>
    <row r="59" spans="1:21" s="23" customFormat="1">
      <c r="A59" s="82" t="s">
        <v>48</v>
      </c>
      <c r="B59" s="96" t="s">
        <v>177</v>
      </c>
      <c r="C59" s="175" t="s">
        <v>216</v>
      </c>
      <c r="D59" s="175"/>
      <c r="E59" s="157">
        <f>E60+E67</f>
        <v>1.2741841621561498</v>
      </c>
      <c r="F59" s="157">
        <f t="shared" ref="F59:T59" si="13">F60+F67</f>
        <v>1.256852794300704</v>
      </c>
      <c r="G59" s="157">
        <f t="shared" si="13"/>
        <v>1.2524665729452582</v>
      </c>
      <c r="H59" s="157">
        <f t="shared" si="13"/>
        <v>1.2479231230898129</v>
      </c>
      <c r="I59" s="157">
        <f t="shared" si="13"/>
        <v>1.2469384258969793</v>
      </c>
      <c r="J59" s="157">
        <f t="shared" si="13"/>
        <v>1.245953728704146</v>
      </c>
      <c r="K59" s="157">
        <f t="shared" si="13"/>
        <v>1.2435083673534182</v>
      </c>
      <c r="L59" s="157">
        <f t="shared" si="13"/>
        <v>0.92785842089742665</v>
      </c>
      <c r="M59" s="157">
        <f t="shared" si="13"/>
        <v>0.9268737237045932</v>
      </c>
      <c r="N59" s="157">
        <f t="shared" si="13"/>
        <v>0.92387298857485356</v>
      </c>
      <c r="O59" s="157">
        <f t="shared" si="13"/>
        <v>0.92087225344511381</v>
      </c>
      <c r="P59" s="157">
        <f t="shared" si="13"/>
        <v>0.91787151831537417</v>
      </c>
      <c r="Q59" s="157">
        <f t="shared" si="13"/>
        <v>0.91487078318563442</v>
      </c>
      <c r="R59" s="157">
        <f t="shared" si="13"/>
        <v>0.91187004805589478</v>
      </c>
      <c r="S59" s="157">
        <f t="shared" si="13"/>
        <v>0.90825776414323744</v>
      </c>
      <c r="T59" s="157">
        <f t="shared" si="13"/>
        <v>0.90645162218690878</v>
      </c>
      <c r="U59" s="11"/>
    </row>
    <row r="60" spans="1:21" s="23" customFormat="1">
      <c r="A60" s="82"/>
      <c r="B60" s="133" t="s">
        <v>314</v>
      </c>
      <c r="C60" s="175" t="s">
        <v>216</v>
      </c>
      <c r="D60" s="175"/>
      <c r="E60" s="413">
        <f>SUM(E61:E66)</f>
        <v>1.1955535000000002</v>
      </c>
      <c r="F60" s="413">
        <f t="shared" ref="F60:T60" si="14">SUM(F61:F66)</f>
        <v>1.1826083534999998</v>
      </c>
      <c r="G60" s="413">
        <f t="shared" si="14"/>
        <v>1.1826083534999998</v>
      </c>
      <c r="H60" s="413">
        <f t="shared" si="14"/>
        <v>1.182451125</v>
      </c>
      <c r="I60" s="413">
        <f t="shared" si="14"/>
        <v>1.182451125</v>
      </c>
      <c r="J60" s="413">
        <f t="shared" si="14"/>
        <v>1.182451125</v>
      </c>
      <c r="K60" s="413">
        <f t="shared" si="14"/>
        <v>1.1809904608421056</v>
      </c>
      <c r="L60" s="413">
        <f t="shared" si="14"/>
        <v>0.86632521157894748</v>
      </c>
      <c r="M60" s="413">
        <f t="shared" si="14"/>
        <v>0.86632521157894748</v>
      </c>
      <c r="N60" s="413">
        <f t="shared" si="14"/>
        <v>0.86632521157894748</v>
      </c>
      <c r="O60" s="413">
        <f t="shared" si="14"/>
        <v>0.86632521157894748</v>
      </c>
      <c r="P60" s="413">
        <f t="shared" si="14"/>
        <v>0.86632521157894748</v>
      </c>
      <c r="Q60" s="413">
        <f t="shared" si="14"/>
        <v>0.86632521157894748</v>
      </c>
      <c r="R60" s="413">
        <f t="shared" si="14"/>
        <v>0.86632521157894748</v>
      </c>
      <c r="S60" s="413">
        <f t="shared" si="14"/>
        <v>0.86632521157894748</v>
      </c>
      <c r="T60" s="413">
        <f t="shared" si="14"/>
        <v>0.86632521157894748</v>
      </c>
      <c r="U60" s="11"/>
    </row>
    <row r="61" spans="1:21" s="23" customFormat="1">
      <c r="A61" s="82"/>
      <c r="B61" s="96" t="s">
        <v>361</v>
      </c>
      <c r="C61" s="175" t="s">
        <v>216</v>
      </c>
      <c r="D61" s="175"/>
      <c r="E61" s="141">
        <f>Założenia!D224*Założenia!D$253*Założenia!$F$63/1000000+Założenia!D236*Założenia!D$257*Założenia!$F$71/1000000</f>
        <v>0</v>
      </c>
      <c r="F61" s="141">
        <f>Założenia!E224*Założenia!E$253*Założenia!$F$63/1000000+Założenia!E236*Założenia!E$257*Założenia!$F$71/1000000</f>
        <v>0</v>
      </c>
      <c r="G61" s="141">
        <f>Założenia!F224*Założenia!F$253*Założenia!$F$63/1000000+Założenia!F236*Założenia!F$257*Założenia!$F$71/1000000</f>
        <v>0</v>
      </c>
      <c r="H61" s="141">
        <f>Założenia!G224*Założenia!G$253*Założenia!$F$63/1000000+Założenia!G236*Założenia!G$257*Założenia!$F$71/1000000</f>
        <v>0</v>
      </c>
      <c r="I61" s="141">
        <f>Założenia!H224*Założenia!H$253*Założenia!$F$63/1000000+Założenia!H236*Założenia!H$257*Założenia!$F$71/1000000</f>
        <v>0</v>
      </c>
      <c r="J61" s="141">
        <f>Założenia!I224*Założenia!I$253*Założenia!$F$63/1000000+Założenia!I236*Założenia!I$257*Założenia!$F$71/1000000</f>
        <v>0</v>
      </c>
      <c r="K61" s="141">
        <f>Założenia!J224*Założenia!J$253*Założenia!$F$63/1000000+Założenia!J236*Założenia!J$257*Założenia!$F$71/1000000</f>
        <v>0</v>
      </c>
      <c r="L61" s="141">
        <f>Założenia!K224*Założenia!K$253*Założenia!$F$63/1000000+Założenia!K236*Założenia!K$257*Założenia!$F$71/1000000</f>
        <v>0</v>
      </c>
      <c r="M61" s="141">
        <f>Założenia!L224*Założenia!L$253*Założenia!$F$63/1000000+Założenia!L236*Założenia!L$257*Założenia!$F$71/1000000</f>
        <v>0</v>
      </c>
      <c r="N61" s="141">
        <f>Założenia!M224*Założenia!M$253*Założenia!$F$63/1000000+Założenia!M236*Założenia!M$257*Założenia!$F$71/1000000</f>
        <v>0</v>
      </c>
      <c r="O61" s="141">
        <f>Założenia!N224*Założenia!N$253*Założenia!$F$63/1000000+Założenia!N236*Założenia!N$257*Założenia!$F$71/1000000</f>
        <v>0</v>
      </c>
      <c r="P61" s="141">
        <f>Założenia!O224*Założenia!O$253*Założenia!$F$63/1000000+Założenia!O236*Założenia!O$257*Założenia!$F$71/1000000</f>
        <v>0</v>
      </c>
      <c r="Q61" s="141">
        <f>Założenia!P224*Założenia!P$253*Założenia!$F$63/1000000+Założenia!P236*Założenia!P$257*Założenia!$F$71/1000000</f>
        <v>0</v>
      </c>
      <c r="R61" s="141">
        <f>Założenia!Q224*Założenia!Q$253*Założenia!$F$63/1000000+Założenia!Q236*Założenia!Q$257*Założenia!$F$71/1000000</f>
        <v>0</v>
      </c>
      <c r="S61" s="141">
        <f>Założenia!R224*Założenia!R$253*Założenia!$F$63/1000000+Założenia!R236*Założenia!R$257*Założenia!$F$71/1000000</f>
        <v>0</v>
      </c>
      <c r="T61" s="141">
        <f>Założenia!S224*Założenia!S$253*Założenia!$F$63/1000000+Założenia!S236*Założenia!S$257*Założenia!$F$71/1000000</f>
        <v>0</v>
      </c>
      <c r="U61" s="11"/>
    </row>
    <row r="62" spans="1:21" s="28" customFormat="1" ht="12">
      <c r="A62" s="82"/>
      <c r="B62" s="96" t="s">
        <v>362</v>
      </c>
      <c r="C62" s="175" t="s">
        <v>216</v>
      </c>
      <c r="D62" s="175"/>
      <c r="E62" s="141">
        <f>Założenia!D225*Założenia!D$253*Założenia!$F64/1000000+Założenia!D237*Założenia!D$257*Założenia!$F72/1000000</f>
        <v>0</v>
      </c>
      <c r="F62" s="141">
        <f>Założenia!E225*Założenia!E$253*Założenia!$F64/1000000+Założenia!E237*Założenia!E$257*Założenia!$F72/1000000</f>
        <v>0</v>
      </c>
      <c r="G62" s="141">
        <f>Założenia!F225*Założenia!F$253*Założenia!$F64/1000000+Założenia!F237*Założenia!F$257*Założenia!$F72/1000000</f>
        <v>0</v>
      </c>
      <c r="H62" s="141">
        <f>Założenia!G225*Założenia!G$253*Założenia!$F64/1000000+Założenia!G237*Założenia!G$257*Założenia!$F72/1000000</f>
        <v>0</v>
      </c>
      <c r="I62" s="141">
        <f>Założenia!H225*Założenia!H$253*Założenia!$F64/1000000+Założenia!H237*Założenia!H$257*Założenia!$F72/1000000</f>
        <v>0</v>
      </c>
      <c r="J62" s="141">
        <f>Założenia!I225*Założenia!I$253*Założenia!$F64/1000000+Założenia!I237*Założenia!I$257*Założenia!$F72/1000000</f>
        <v>0</v>
      </c>
      <c r="K62" s="141">
        <f>Założenia!J225*Założenia!J$253*Założenia!$F64/1000000+Założenia!J237*Założenia!J$257*Założenia!$F72/1000000</f>
        <v>0</v>
      </c>
      <c r="L62" s="141">
        <f>Założenia!K225*Założenia!K$253*Założenia!$F64/1000000+Założenia!K237*Założenia!K$257*Założenia!$F72/1000000</f>
        <v>0</v>
      </c>
      <c r="M62" s="141">
        <f>Założenia!L225*Założenia!L$253*Założenia!$F64/1000000+Założenia!L237*Założenia!L$257*Założenia!$F72/1000000</f>
        <v>0</v>
      </c>
      <c r="N62" s="141">
        <f>Założenia!M225*Założenia!M$253*Założenia!$F64/1000000+Założenia!M237*Założenia!M$257*Założenia!$F72/1000000</f>
        <v>0</v>
      </c>
      <c r="O62" s="141">
        <f>Założenia!N225*Założenia!N$253*Założenia!$F64/1000000+Założenia!N237*Założenia!N$257*Założenia!$F72/1000000</f>
        <v>0</v>
      </c>
      <c r="P62" s="141">
        <f>Założenia!O225*Założenia!O$253*Założenia!$F64/1000000+Założenia!O237*Założenia!O$257*Założenia!$F72/1000000</f>
        <v>0</v>
      </c>
      <c r="Q62" s="141">
        <f>Założenia!P225*Założenia!P$253*Założenia!$F64/1000000+Założenia!P237*Założenia!P$257*Założenia!$F72/1000000</f>
        <v>0</v>
      </c>
      <c r="R62" s="141">
        <f>Założenia!Q225*Założenia!Q$253*Założenia!$F64/1000000+Założenia!Q237*Założenia!Q$257*Założenia!$F72/1000000</f>
        <v>0</v>
      </c>
      <c r="S62" s="141">
        <f>Założenia!R225*Założenia!R$253*Założenia!$F64/1000000+Założenia!R237*Założenia!R$257*Założenia!$F72/1000000</f>
        <v>0</v>
      </c>
      <c r="T62" s="141">
        <f>Założenia!S225*Założenia!S$253*Założenia!$F64/1000000+Założenia!S237*Założenia!S$257*Założenia!$F72/1000000</f>
        <v>0</v>
      </c>
      <c r="U62" s="11"/>
    </row>
    <row r="63" spans="1:21" s="28" customFormat="1" ht="12">
      <c r="A63" s="82"/>
      <c r="B63" s="96" t="s">
        <v>363</v>
      </c>
      <c r="C63" s="175" t="s">
        <v>216</v>
      </c>
      <c r="D63" s="175"/>
      <c r="E63" s="141">
        <f>Założenia!D226*Założenia!D$253*Założenia!$F65/1000000+Założenia!D238*Założenia!D$257*Założenia!$F73/1000000</f>
        <v>0</v>
      </c>
      <c r="F63" s="141">
        <f>Założenia!E226*Założenia!E$253*Założenia!$F65/1000000+Założenia!E238*Założenia!E$257*Założenia!$F73/1000000</f>
        <v>0</v>
      </c>
      <c r="G63" s="141">
        <f>Założenia!F226*Założenia!F$253*Założenia!$F65/1000000+Założenia!F238*Założenia!F$257*Założenia!$F73/1000000</f>
        <v>0</v>
      </c>
      <c r="H63" s="141">
        <f>Założenia!G226*Założenia!G$253*Założenia!$F65/1000000+Założenia!G238*Założenia!G$257*Założenia!$F73/1000000</f>
        <v>0</v>
      </c>
      <c r="I63" s="141">
        <f>Założenia!H226*Założenia!H$253*Założenia!$F65/1000000+Założenia!H238*Założenia!H$257*Założenia!$F73/1000000</f>
        <v>0</v>
      </c>
      <c r="J63" s="141">
        <f>Założenia!I226*Założenia!I$253*Założenia!$F65/1000000+Założenia!I238*Założenia!I$257*Założenia!$F73/1000000</f>
        <v>0</v>
      </c>
      <c r="K63" s="141">
        <f>Założenia!J226*Założenia!J$253*Założenia!$F65/1000000+Założenia!J238*Założenia!J$257*Założenia!$F73/1000000</f>
        <v>0</v>
      </c>
      <c r="L63" s="141">
        <f>Założenia!K226*Założenia!K$253*Założenia!$F65/1000000+Założenia!K238*Założenia!K$257*Założenia!$F73/1000000</f>
        <v>0</v>
      </c>
      <c r="M63" s="141">
        <f>Założenia!L226*Założenia!L$253*Założenia!$F65/1000000+Założenia!L238*Założenia!L$257*Założenia!$F73/1000000</f>
        <v>0</v>
      </c>
      <c r="N63" s="141">
        <f>Założenia!M226*Założenia!M$253*Założenia!$F65/1000000+Założenia!M238*Założenia!M$257*Założenia!$F73/1000000</f>
        <v>0</v>
      </c>
      <c r="O63" s="141">
        <f>Założenia!N226*Założenia!N$253*Założenia!$F65/1000000+Założenia!N238*Założenia!N$257*Założenia!$F73/1000000</f>
        <v>0</v>
      </c>
      <c r="P63" s="141">
        <f>Założenia!O226*Założenia!O$253*Założenia!$F65/1000000+Założenia!O238*Założenia!O$257*Założenia!$F73/1000000</f>
        <v>0</v>
      </c>
      <c r="Q63" s="141">
        <f>Założenia!P226*Założenia!P$253*Założenia!$F65/1000000+Założenia!P238*Założenia!P$257*Założenia!$F73/1000000</f>
        <v>0</v>
      </c>
      <c r="R63" s="141">
        <f>Założenia!Q226*Założenia!Q$253*Założenia!$F65/1000000+Założenia!Q238*Założenia!Q$257*Założenia!$F73/1000000</f>
        <v>0</v>
      </c>
      <c r="S63" s="141">
        <f>Założenia!R226*Założenia!R$253*Założenia!$F65/1000000+Założenia!R238*Założenia!R$257*Założenia!$F73/1000000</f>
        <v>0</v>
      </c>
      <c r="T63" s="141">
        <f>Założenia!S226*Założenia!S$253*Założenia!$F65/1000000+Założenia!S238*Założenia!S$257*Założenia!$F73/1000000</f>
        <v>0</v>
      </c>
      <c r="U63" s="11"/>
    </row>
    <row r="64" spans="1:21" s="28" customFormat="1" ht="12">
      <c r="A64" s="82"/>
      <c r="B64" s="96" t="s">
        <v>364</v>
      </c>
      <c r="C64" s="175" t="s">
        <v>216</v>
      </c>
      <c r="D64" s="175"/>
      <c r="E64" s="141">
        <f>Założenia!D227*Założenia!D$253*Założenia!$F66/1000000+Założenia!D239*Założenia!D$257*Założenia!$F74/1000000</f>
        <v>0</v>
      </c>
      <c r="F64" s="141">
        <f>Założenia!E227*Założenia!E$253*Założenia!$F66/1000000+Założenia!E239*Założenia!E$257*Założenia!$F74/1000000</f>
        <v>0</v>
      </c>
      <c r="G64" s="141">
        <f>Założenia!F227*Założenia!F$253*Założenia!$F66/1000000+Założenia!F239*Założenia!F$257*Założenia!$F74/1000000</f>
        <v>0</v>
      </c>
      <c r="H64" s="141">
        <f>Założenia!G227*Założenia!G$253*Założenia!$F66/1000000+Założenia!G239*Założenia!G$257*Założenia!$F74/1000000</f>
        <v>0</v>
      </c>
      <c r="I64" s="141">
        <f>Założenia!H227*Założenia!H$253*Założenia!$F66/1000000+Założenia!H239*Założenia!H$257*Założenia!$F74/1000000</f>
        <v>0</v>
      </c>
      <c r="J64" s="141">
        <f>Założenia!I227*Założenia!I$253*Założenia!$F66/1000000+Założenia!I239*Założenia!I$257*Założenia!$F74/1000000</f>
        <v>0</v>
      </c>
      <c r="K64" s="141">
        <f>Założenia!J227*Założenia!J$253*Założenia!$F66/1000000+Założenia!J239*Założenia!J$257*Założenia!$F74/1000000</f>
        <v>0</v>
      </c>
      <c r="L64" s="141">
        <f>Założenia!K227*Założenia!K$253*Założenia!$F66/1000000+Założenia!K239*Założenia!K$257*Założenia!$F74/1000000</f>
        <v>0</v>
      </c>
      <c r="M64" s="141">
        <f>Założenia!L227*Założenia!L$253*Założenia!$F66/1000000+Założenia!L239*Założenia!L$257*Założenia!$F74/1000000</f>
        <v>0</v>
      </c>
      <c r="N64" s="141">
        <f>Założenia!M227*Założenia!M$253*Założenia!$F66/1000000+Założenia!M239*Założenia!M$257*Założenia!$F74/1000000</f>
        <v>0</v>
      </c>
      <c r="O64" s="141">
        <f>Założenia!N227*Założenia!N$253*Założenia!$F66/1000000+Założenia!N239*Założenia!N$257*Założenia!$F74/1000000</f>
        <v>0</v>
      </c>
      <c r="P64" s="141">
        <f>Założenia!O227*Założenia!O$253*Założenia!$F66/1000000+Założenia!O239*Założenia!O$257*Założenia!$F74/1000000</f>
        <v>0</v>
      </c>
      <c r="Q64" s="141">
        <f>Założenia!P227*Założenia!P$253*Założenia!$F66/1000000+Założenia!P239*Założenia!P$257*Założenia!$F74/1000000</f>
        <v>0</v>
      </c>
      <c r="R64" s="141">
        <f>Założenia!Q227*Założenia!Q$253*Założenia!$F66/1000000+Założenia!Q239*Założenia!Q$257*Założenia!$F74/1000000</f>
        <v>0</v>
      </c>
      <c r="S64" s="141">
        <f>Założenia!R227*Założenia!R$253*Założenia!$F66/1000000+Założenia!R239*Założenia!R$257*Założenia!$F74/1000000</f>
        <v>0</v>
      </c>
      <c r="T64" s="141">
        <f>Założenia!S227*Założenia!S$253*Założenia!$F66/1000000+Założenia!S239*Założenia!S$257*Założenia!$F74/1000000</f>
        <v>0</v>
      </c>
      <c r="U64" s="11"/>
    </row>
    <row r="65" spans="1:21" s="28" customFormat="1" ht="12">
      <c r="A65" s="82"/>
      <c r="B65" s="96" t="s">
        <v>365</v>
      </c>
      <c r="C65" s="175" t="s">
        <v>216</v>
      </c>
      <c r="D65" s="175"/>
      <c r="E65" s="141">
        <f>Założenia!D228*Założenia!D$253*Założenia!$F67/1000000+Założenia!D230*Założenia!D$253*Założenia!$I67/1000000+Założenia!D240*Założenia!D$257*Założenia!$F75/1000000</f>
        <v>0.3940343764705882</v>
      </c>
      <c r="F65" s="141">
        <f>Założenia!E228*Założenia!E$253*Założenia!$F67/1000000+Założenia!E230*Założenia!E$253*Założenia!$I67/1000000+Założenia!E240*Założenia!E$257*Założenia!$F75/1000000</f>
        <v>0.38879342647058818</v>
      </c>
      <c r="G65" s="141">
        <f>Założenia!F228*Założenia!F$253*Założenia!$F67/1000000+Założenia!F230*Założenia!F$253*Założenia!$I67/1000000+Założenia!F240*Założenia!F$257*Założenia!$F75/1000000</f>
        <v>0.38879342647058818</v>
      </c>
      <c r="H65" s="141">
        <f>Założenia!G228*Założenia!G$253*Założenia!$F67/1000000+Założenia!G230*Założenia!G$253*Założenia!$I67/1000000+Założenia!G240*Założenia!G$257*Założenia!$F75/1000000</f>
        <v>0.38971829999999996</v>
      </c>
      <c r="I65" s="141">
        <f>Założenia!H228*Założenia!H$253*Założenia!$F67/1000000+Założenia!H230*Założenia!H$253*Założenia!$I67/1000000+Założenia!H240*Założenia!H$257*Założenia!$F75/1000000</f>
        <v>0.38971829999999996</v>
      </c>
      <c r="J65" s="141">
        <f>Założenia!I228*Założenia!I$253*Założenia!$F67/1000000+Założenia!I230*Założenia!I$253*Założenia!$I67/1000000+Założenia!I240*Założenia!I$257*Założenia!$F75/1000000</f>
        <v>0.38971829999999996</v>
      </c>
      <c r="K65" s="141">
        <f>Założenia!J228*Założenia!J$253*Założenia!$F67/1000000+Założenia!J230*Założenia!J$253*Założenia!$I67/1000000+Założenia!J240*Założenia!J$257*Założenia!$F75/1000000</f>
        <v>0.39831044210526317</v>
      </c>
      <c r="L65" s="141">
        <f>Założenia!K228*Założenia!K$253*Założenia!$F67/1000000+Założenia!K230*Założenia!K$253*Założenia!$I67/1000000+Założenia!K240*Założenia!K$257*Założenia!$F75/1000000</f>
        <v>0</v>
      </c>
      <c r="M65" s="141">
        <f>Założenia!L228*Założenia!L$253*Założenia!$F67/1000000+Założenia!L230*Założenia!L$253*Założenia!$I67/1000000+Założenia!L240*Założenia!L$257*Założenia!$F75/1000000</f>
        <v>0</v>
      </c>
      <c r="N65" s="141">
        <f>Założenia!M228*Założenia!M$253*Założenia!$F67/1000000+Założenia!M230*Założenia!M$253*Założenia!$I67/1000000+Założenia!M240*Założenia!M$257*Założenia!$F75/1000000</f>
        <v>0</v>
      </c>
      <c r="O65" s="141">
        <f>Założenia!N228*Założenia!N$253*Założenia!$F67/1000000+Założenia!N230*Założenia!N$253*Założenia!$I67/1000000+Założenia!N240*Założenia!N$257*Założenia!$F75/1000000</f>
        <v>0</v>
      </c>
      <c r="P65" s="141">
        <f>Założenia!O228*Założenia!O$253*Założenia!$F67/1000000+Założenia!O230*Założenia!O$253*Założenia!$I67/1000000+Założenia!O240*Założenia!O$257*Założenia!$F75/1000000</f>
        <v>0</v>
      </c>
      <c r="Q65" s="141">
        <f>Założenia!P228*Założenia!P$253*Założenia!$F67/1000000+Założenia!P230*Założenia!P$253*Założenia!$I67/1000000+Założenia!P240*Założenia!P$257*Założenia!$F75/1000000</f>
        <v>0</v>
      </c>
      <c r="R65" s="141">
        <f>Założenia!Q228*Założenia!Q$253*Założenia!$F67/1000000+Założenia!Q230*Założenia!Q$253*Założenia!$I67/1000000+Założenia!Q240*Założenia!Q$257*Założenia!$F75/1000000</f>
        <v>0</v>
      </c>
      <c r="S65" s="141">
        <f>Założenia!R228*Założenia!R$253*Założenia!$F67/1000000+Założenia!R230*Założenia!R$253*Założenia!$I67/1000000+Założenia!R240*Założenia!R$257*Założenia!$F75/1000000</f>
        <v>0</v>
      </c>
      <c r="T65" s="141">
        <f>Założenia!S228*Założenia!S$253*Założenia!$F67/1000000+Założenia!S230*Założenia!S$253*Założenia!$I67/1000000+Założenia!S240*Założenia!S$257*Założenia!$F75/1000000</f>
        <v>0</v>
      </c>
      <c r="U65" s="11"/>
    </row>
    <row r="66" spans="1:21" s="28" customFormat="1" ht="12">
      <c r="A66" s="82"/>
      <c r="B66" s="96" t="s">
        <v>367</v>
      </c>
      <c r="C66" s="175" t="s">
        <v>216</v>
      </c>
      <c r="D66" s="175"/>
      <c r="E66" s="141">
        <f>Założenia!D229*Założenia!D$253*Założenia!$F68/1000000+Założenia!D231*Założenia!D$253*Założenia!$I68/1000000+Założenia!D241*Założenia!D$257*Założenia!$F76/1000000+Założenia!D242*Założenia!D$257*Założenia!$I76/1000000</f>
        <v>0.8015191235294119</v>
      </c>
      <c r="F66" s="141">
        <f>Założenia!E229*Założenia!E$253*Założenia!$F68/1000000+Założenia!E231*Założenia!E$253*Założenia!$I68/1000000+Założenia!E241*Założenia!E$257*Założenia!$F76/1000000+Założenia!E242*Założenia!E$257*Założenia!$I76/1000000</f>
        <v>0.7938149270294117</v>
      </c>
      <c r="G66" s="141">
        <f>Założenia!F229*Założenia!F$253*Założenia!$F68/1000000+Założenia!F231*Założenia!F$253*Założenia!$I68/1000000+Założenia!F241*Założenia!F$257*Założenia!$F76/1000000+Założenia!F242*Założenia!F$257*Założenia!$I76/1000000</f>
        <v>0.7938149270294117</v>
      </c>
      <c r="H66" s="141">
        <f>Założenia!G229*Założenia!G$253*Założenia!$F68/1000000+Założenia!G231*Założenia!G$253*Założenia!$I68/1000000+Założenia!G241*Założenia!G$257*Założenia!$F76/1000000+Założenia!G242*Założenia!G$257*Założenia!$I76/1000000</f>
        <v>0.79273282500000009</v>
      </c>
      <c r="I66" s="141">
        <f>Założenia!H229*Założenia!H$253*Założenia!$F68/1000000+Założenia!H231*Założenia!H$253*Założenia!$I68/1000000+Założenia!H241*Założenia!H$257*Założenia!$F76/1000000+Założenia!H242*Założenia!H$257*Założenia!$I76/1000000</f>
        <v>0.79273282500000009</v>
      </c>
      <c r="J66" s="141">
        <f>Założenia!I229*Założenia!I$253*Założenia!$F68/1000000+Założenia!I231*Założenia!I$253*Założenia!$I68/1000000+Założenia!I241*Założenia!I$257*Założenia!$F76/1000000+Założenia!I242*Założenia!I$257*Założenia!$I76/1000000</f>
        <v>0.79273282500000009</v>
      </c>
      <c r="K66" s="141">
        <f>Założenia!J229*Założenia!J$253*Założenia!$F68/1000000+Założenia!J231*Założenia!J$253*Założenia!$I68/1000000+Założenia!J241*Założenia!J$257*Założenia!$F76/1000000+Założenia!J242*Założenia!J$257*Założenia!$I76/1000000</f>
        <v>0.78268001873684234</v>
      </c>
      <c r="L66" s="141">
        <f>Założenia!K229*Założenia!K$253*Założenia!$F68/1000000+Założenia!K231*Założenia!K$253*Założenia!$I68/1000000+Założenia!K241*Założenia!K$257*Założenia!$F76/1000000+Założenia!K242*Założenia!K$257*Założenia!$I76/1000000</f>
        <v>0.86632521157894748</v>
      </c>
      <c r="M66" s="141">
        <f>Założenia!L229*Założenia!L$253*Założenia!$F68/1000000+Założenia!L231*Założenia!L$253*Założenia!$I68/1000000+Założenia!L241*Założenia!L$257*Założenia!$F76/1000000+Założenia!L242*Założenia!L$257*Założenia!$I76/1000000</f>
        <v>0.86632521157894748</v>
      </c>
      <c r="N66" s="141">
        <f>Założenia!M229*Założenia!M$253*Założenia!$F68/1000000+Założenia!M231*Założenia!M$253*Założenia!$I68/1000000+Założenia!M241*Założenia!M$257*Założenia!$F76/1000000+Założenia!M242*Założenia!M$257*Założenia!$I76/1000000</f>
        <v>0.86632521157894748</v>
      </c>
      <c r="O66" s="141">
        <f>Założenia!N229*Założenia!N$253*Założenia!$F68/1000000+Założenia!N231*Założenia!N$253*Założenia!$I68/1000000+Założenia!N241*Założenia!N$257*Założenia!$F76/1000000+Założenia!N242*Założenia!N$257*Założenia!$I76/1000000</f>
        <v>0.86632521157894748</v>
      </c>
      <c r="P66" s="141">
        <f>Założenia!O229*Założenia!O$253*Założenia!$F68/1000000+Założenia!O231*Założenia!O$253*Założenia!$I68/1000000+Założenia!O241*Założenia!O$257*Założenia!$F76/1000000+Założenia!O242*Założenia!O$257*Założenia!$I76/1000000</f>
        <v>0.86632521157894748</v>
      </c>
      <c r="Q66" s="141">
        <f>Założenia!P229*Założenia!P$253*Założenia!$F68/1000000+Założenia!P231*Założenia!P$253*Założenia!$I68/1000000+Założenia!P241*Założenia!P$257*Założenia!$F76/1000000+Założenia!P242*Założenia!P$257*Założenia!$I76/1000000</f>
        <v>0.86632521157894748</v>
      </c>
      <c r="R66" s="141">
        <f>Założenia!Q229*Założenia!Q$253*Założenia!$F68/1000000+Założenia!Q231*Założenia!Q$253*Założenia!$I68/1000000+Założenia!Q241*Założenia!Q$257*Założenia!$F76/1000000+Założenia!Q242*Założenia!Q$257*Założenia!$I76/1000000</f>
        <v>0.86632521157894748</v>
      </c>
      <c r="S66" s="141">
        <f>Założenia!R229*Założenia!R$253*Założenia!$F68/1000000+Założenia!R231*Założenia!R$253*Założenia!$I68/1000000+Założenia!R241*Założenia!R$257*Założenia!$F76/1000000+Założenia!R242*Założenia!R$257*Założenia!$I76/1000000</f>
        <v>0.86632521157894748</v>
      </c>
      <c r="T66" s="141">
        <f>Założenia!S229*Założenia!S$253*Założenia!$F68/1000000+Założenia!S231*Założenia!S$253*Założenia!$I68/1000000+Założenia!S241*Założenia!S$257*Założenia!$F76/1000000+Założenia!S242*Założenia!S$257*Założenia!$I76/1000000</f>
        <v>0.86632521157894748</v>
      </c>
      <c r="U66" s="11"/>
    </row>
    <row r="67" spans="1:21" s="1" customFormat="1" ht="15">
      <c r="A67" s="82"/>
      <c r="B67" s="94" t="s">
        <v>313</v>
      </c>
      <c r="C67" s="175" t="s">
        <v>299</v>
      </c>
      <c r="D67" s="252"/>
      <c r="E67" s="413">
        <f>Założenia!D233*Założenia!D$255*Założenia!$E$166*Założenia!$E$107*Założenia!E83/1000000+Założenia!D243*Założenia!D$258*Założenia!$E$167*Założenia!$E$107*Założenia!E83/1000000</f>
        <v>7.8630662156149722E-2</v>
      </c>
      <c r="F67" s="413">
        <f>Założenia!E233*Założenia!E$255*Założenia!$E$166*Założenia!$E$107*Założenia!F83/1000000+Założenia!E243*Założenia!E$258*Założenia!$E$167*Założenia!$E$107*Założenia!F83/1000000</f>
        <v>7.4244440800704067E-2</v>
      </c>
      <c r="G67" s="413">
        <f>Założenia!F233*Założenia!F$255*Założenia!$E$166*Założenia!$E$107*Założenia!G83/1000000+Założenia!F243*Założenia!F$258*Założenia!$E$167*Założenia!$E$107*Założenia!G83/1000000</f>
        <v>6.9858219445258427E-2</v>
      </c>
      <c r="H67" s="413">
        <f>Założenia!G233*Założenia!G$255*Założenia!$E$166*Założenia!$E$107*Założenia!H83/1000000+Założenia!G243*Założenia!G$258*Założenia!$E$167*Założenia!$E$107*Założenia!H83/1000000</f>
        <v>6.5471998089812772E-2</v>
      </c>
      <c r="I67" s="413">
        <f>Założenia!H233*Założenia!H$255*Założenia!$E$166*Założenia!$E$107*Założenia!I83/1000000+Założenia!H243*Założenia!H$258*Założenia!$E$167*Założenia!$E$107*Założenia!I83/1000000</f>
        <v>6.4487300896979363E-2</v>
      </c>
      <c r="J67" s="413">
        <f>Założenia!I233*Założenia!I$255*Założenia!$E$166*Założenia!$E$107*Założenia!J83/1000000+Założenia!I243*Założenia!I$258*Założenia!$E$167*Założenia!$E$107*Założenia!J83/1000000</f>
        <v>6.3502603704145955E-2</v>
      </c>
      <c r="K67" s="413">
        <f>Założenia!J233*Założenia!J$255*Założenia!$E$166*Założenia!$E$107*Założenia!K83/1000000+Założenia!J243*Założenia!J$258*Założenia!$E$167*Założenia!$E$107*Założenia!K83/1000000</f>
        <v>6.2517906511312546E-2</v>
      </c>
      <c r="L67" s="413">
        <f>Założenia!K233*Założenia!K$255*Założenia!$E$166*Założenia!$E$107*Założenia!L83/1000000+Założenia!K243*Założenia!K$258*Założenia!$E$167*Założenia!$E$107*Założenia!L83/1000000</f>
        <v>6.1533209318479137E-2</v>
      </c>
      <c r="M67" s="413">
        <f>Założenia!L233*Założenia!L$255*Założenia!$E$166*Założenia!$E$107*Założenia!M83/1000000+Założenia!L243*Założenia!L$258*Założenia!$E$167*Założenia!$E$107*Założenia!M83/1000000</f>
        <v>6.0548512125645743E-2</v>
      </c>
      <c r="N67" s="413">
        <f>Założenia!M233*Założenia!M$255*Założenia!$E$166*Założenia!$E$107*Założenia!N83/1000000+Założenia!M243*Założenia!M$258*Założenia!$E$167*Założenia!$E$107*Założenia!N83/1000000</f>
        <v>5.754777699590604E-2</v>
      </c>
      <c r="O67" s="413">
        <f>Założenia!N233*Założenia!N$255*Założenia!$E$166*Założenia!$E$107*Założenia!O83/1000000+Założenia!N243*Założenia!N$258*Założenia!$E$167*Założenia!$E$107*Założenia!O83/1000000</f>
        <v>5.4547041866166344E-2</v>
      </c>
      <c r="P67" s="413">
        <f>Założenia!O233*Założenia!O$255*Założenia!$E$166*Założenia!$E$107*Założenia!P83/1000000+Założenia!O243*Założenia!O$258*Założenia!$E$167*Założenia!$E$107*Założenia!P83/1000000</f>
        <v>5.1546306736426649E-2</v>
      </c>
      <c r="Q67" s="413">
        <f>Założenia!P233*Założenia!P$255*Założenia!$E$166*Założenia!$E$107*Założenia!Q83/1000000+Założenia!P243*Założenia!P$258*Założenia!$E$167*Założenia!$E$107*Założenia!Q83/1000000</f>
        <v>4.8545571606686953E-2</v>
      </c>
      <c r="R67" s="413">
        <f>Założenia!Q233*Założenia!Q$255*Założenia!$E$166*Założenia!$E$107*Założenia!R83/1000000+Założenia!Q243*Założenia!Q$258*Założenia!$E$167*Założenia!$E$107*Założenia!R83/1000000</f>
        <v>4.5544836476947244E-2</v>
      </c>
      <c r="S67" s="413">
        <f>Założenia!R233*Założenia!R$255*Założenia!$E$166*Założenia!$E$107*Założenia!S83/1000000+Założenia!R243*Założenia!R$258*Założenia!$E$167*Założenia!$E$107*Założenia!S83/1000000</f>
        <v>4.193255256428996E-2</v>
      </c>
      <c r="T67" s="413">
        <f>Założenia!S233*Założenia!S$255*Założenia!$E$166*Założenia!$E$107*Założenia!T83/1000000+Założenia!S243*Założenia!S$258*Założenia!$E$167*Założenia!$E$107*Założenia!T83/1000000</f>
        <v>4.0126410607961328E-2</v>
      </c>
    </row>
    <row r="68" spans="1:21" s="23" customFormat="1">
      <c r="A68" s="82" t="s">
        <v>49</v>
      </c>
      <c r="B68" s="96" t="s">
        <v>178</v>
      </c>
      <c r="C68" s="175" t="s">
        <v>217</v>
      </c>
      <c r="D68" s="175"/>
      <c r="E68" s="157">
        <f>E69+E76</f>
        <v>2.613223108032086E-2</v>
      </c>
      <c r="F68" s="157">
        <f t="shared" ref="F68:T68" si="15">F69+F76</f>
        <v>2.5767075438371152E-2</v>
      </c>
      <c r="G68" s="157">
        <f t="shared" si="15"/>
        <v>2.5646934208921453E-2</v>
      </c>
      <c r="H68" s="157">
        <f t="shared" si="15"/>
        <v>2.5508989164030577E-2</v>
      </c>
      <c r="I68" s="157">
        <f t="shared" si="15"/>
        <v>2.5482227165614234E-2</v>
      </c>
      <c r="J68" s="157">
        <f t="shared" si="15"/>
        <v>2.5455465167197894E-2</v>
      </c>
      <c r="K68" s="157">
        <f t="shared" si="15"/>
        <v>2.5263304433255241E-2</v>
      </c>
      <c r="L68" s="157">
        <f t="shared" si="15"/>
        <v>2.3344567834838899E-2</v>
      </c>
      <c r="M68" s="157">
        <f t="shared" si="15"/>
        <v>2.331780583642256E-2</v>
      </c>
      <c r="N68" s="157">
        <f t="shared" si="15"/>
        <v>2.32353616154948E-2</v>
      </c>
      <c r="O68" s="157">
        <f t="shared" si="15"/>
        <v>2.3152917394567041E-2</v>
      </c>
      <c r="P68" s="157">
        <f t="shared" si="15"/>
        <v>2.3070473173639281E-2</v>
      </c>
      <c r="Q68" s="157">
        <f t="shared" si="15"/>
        <v>2.2988028952711521E-2</v>
      </c>
      <c r="R68" s="157">
        <f t="shared" si="15"/>
        <v>2.2905584731783765E-2</v>
      </c>
      <c r="S68" s="157">
        <f t="shared" si="15"/>
        <v>2.2807385463401223E-2</v>
      </c>
      <c r="T68" s="157">
        <f t="shared" si="15"/>
        <v>2.2758285829209954E-2</v>
      </c>
      <c r="U68" s="11"/>
    </row>
    <row r="69" spans="1:21" s="23" customFormat="1">
      <c r="A69" s="82"/>
      <c r="B69" s="133" t="s">
        <v>314</v>
      </c>
      <c r="C69" s="175" t="s">
        <v>217</v>
      </c>
      <c r="D69" s="175"/>
      <c r="E69" s="413">
        <f>SUM(E70:E75)</f>
        <v>2.397832185294118E-2</v>
      </c>
      <c r="F69" s="413">
        <f t="shared" ref="F69:T69" si="16">SUM(F70:F75)</f>
        <v>2.3733307440441175E-2</v>
      </c>
      <c r="G69" s="413">
        <f t="shared" si="16"/>
        <v>2.3733307440441175E-2</v>
      </c>
      <c r="H69" s="413">
        <f t="shared" si="16"/>
        <v>2.3715503625000002E-2</v>
      </c>
      <c r="I69" s="413">
        <f t="shared" si="16"/>
        <v>2.3715503625000002E-2</v>
      </c>
      <c r="J69" s="413">
        <f t="shared" si="16"/>
        <v>2.3715503625000002E-2</v>
      </c>
      <c r="K69" s="413">
        <f t="shared" si="16"/>
        <v>2.3550104889473688E-2</v>
      </c>
      <c r="L69" s="413">
        <f t="shared" si="16"/>
        <v>2.1658130289473689E-2</v>
      </c>
      <c r="M69" s="413">
        <f t="shared" si="16"/>
        <v>2.1658130289473689E-2</v>
      </c>
      <c r="N69" s="413">
        <f t="shared" si="16"/>
        <v>2.1658130289473689E-2</v>
      </c>
      <c r="O69" s="413">
        <f t="shared" si="16"/>
        <v>2.1658130289473689E-2</v>
      </c>
      <c r="P69" s="413">
        <f t="shared" si="16"/>
        <v>2.1658130289473689E-2</v>
      </c>
      <c r="Q69" s="413">
        <f t="shared" si="16"/>
        <v>2.1658130289473689E-2</v>
      </c>
      <c r="R69" s="413">
        <f t="shared" si="16"/>
        <v>2.1658130289473689E-2</v>
      </c>
      <c r="S69" s="413">
        <f t="shared" si="16"/>
        <v>2.1658130289473689E-2</v>
      </c>
      <c r="T69" s="413">
        <f t="shared" si="16"/>
        <v>2.1658130289473689E-2</v>
      </c>
      <c r="U69" s="11"/>
    </row>
    <row r="70" spans="1:21" s="23" customFormat="1">
      <c r="A70" s="82"/>
      <c r="B70" s="96" t="s">
        <v>361</v>
      </c>
      <c r="C70" s="175" t="s">
        <v>217</v>
      </c>
      <c r="D70" s="175"/>
      <c r="E70" s="141">
        <f>Założenia!D224*Założenia!D$253*Założenia!$G63/1000000+Założenia!D236*Założenia!D$257*Założenia!$G71/1000000</f>
        <v>0</v>
      </c>
      <c r="F70" s="141">
        <f>Założenia!E224*Założenia!E$253*Założenia!$G63/1000000+Założenia!E236*Założenia!E$257*Założenia!$G71/1000000</f>
        <v>0</v>
      </c>
      <c r="G70" s="141">
        <f>Założenia!F224*Założenia!F$253*Założenia!$G63/1000000+Założenia!F236*Założenia!F$257*Założenia!$G71/1000000</f>
        <v>0</v>
      </c>
      <c r="H70" s="141">
        <f>Założenia!G224*Założenia!G$253*Założenia!$G63/1000000+Założenia!G236*Założenia!G$257*Założenia!$G71/1000000</f>
        <v>0</v>
      </c>
      <c r="I70" s="141">
        <f>Założenia!H224*Założenia!H$253*Założenia!$G63/1000000+Założenia!H236*Założenia!H$257*Założenia!$G71/1000000</f>
        <v>0</v>
      </c>
      <c r="J70" s="141">
        <f>Założenia!I224*Założenia!I$253*Założenia!$G63/1000000+Założenia!I236*Założenia!I$257*Założenia!$G71/1000000</f>
        <v>0</v>
      </c>
      <c r="K70" s="141">
        <f>Założenia!J224*Założenia!J$253*Założenia!$G63/1000000+Założenia!J236*Założenia!J$257*Założenia!$G71/1000000</f>
        <v>0</v>
      </c>
      <c r="L70" s="141">
        <f>Założenia!K224*Założenia!K$253*Założenia!$G63/1000000+Założenia!K236*Założenia!K$257*Założenia!$G71/1000000</f>
        <v>0</v>
      </c>
      <c r="M70" s="141">
        <f>Założenia!L224*Założenia!L$253*Założenia!$G63/1000000+Założenia!L236*Założenia!L$257*Założenia!$G71/1000000</f>
        <v>0</v>
      </c>
      <c r="N70" s="141">
        <f>Założenia!M224*Założenia!M$253*Założenia!$G63/1000000+Założenia!M236*Założenia!M$257*Założenia!$G71/1000000</f>
        <v>0</v>
      </c>
      <c r="O70" s="141">
        <f>Założenia!N224*Założenia!N$253*Założenia!$G63/1000000+Założenia!N236*Założenia!N$257*Założenia!$G71/1000000</f>
        <v>0</v>
      </c>
      <c r="P70" s="141">
        <f>Założenia!O224*Założenia!O$253*Założenia!$G63/1000000+Założenia!O236*Założenia!O$257*Założenia!$G71/1000000</f>
        <v>0</v>
      </c>
      <c r="Q70" s="141">
        <f>Założenia!P224*Założenia!P$253*Założenia!$G63/1000000+Założenia!P236*Założenia!P$257*Założenia!$G71/1000000</f>
        <v>0</v>
      </c>
      <c r="R70" s="141">
        <f>Założenia!Q224*Założenia!Q$253*Założenia!$G63/1000000+Założenia!Q236*Założenia!Q$257*Założenia!$G71/1000000</f>
        <v>0</v>
      </c>
      <c r="S70" s="141">
        <f>Założenia!R224*Założenia!R$253*Założenia!$G63/1000000+Założenia!R236*Założenia!R$257*Założenia!$G71/1000000</f>
        <v>0</v>
      </c>
      <c r="T70" s="141">
        <f>Założenia!S224*Założenia!S$253*Założenia!$G63/1000000+Założenia!S236*Założenia!S$257*Założenia!$G71/1000000</f>
        <v>0</v>
      </c>
      <c r="U70" s="11"/>
    </row>
    <row r="71" spans="1:21" s="28" customFormat="1" ht="12">
      <c r="A71" s="82"/>
      <c r="B71" s="96" t="s">
        <v>362</v>
      </c>
      <c r="C71" s="175" t="s">
        <v>217</v>
      </c>
      <c r="D71" s="175"/>
      <c r="E71" s="141">
        <f>Założenia!D225*Założenia!D$253*Założenia!$G64/1000000+Założenia!D237*Założenia!D$257*Założenia!$G72/1000000</f>
        <v>0</v>
      </c>
      <c r="F71" s="141">
        <f>Założenia!E225*Założenia!E$253*Założenia!$G64/1000000+Założenia!E237*Założenia!E$257*Założenia!$G72/1000000</f>
        <v>0</v>
      </c>
      <c r="G71" s="141">
        <f>Założenia!F225*Założenia!F$253*Założenia!$G64/1000000+Założenia!F237*Założenia!F$257*Założenia!$G72/1000000</f>
        <v>0</v>
      </c>
      <c r="H71" s="141">
        <f>Założenia!G225*Założenia!G$253*Założenia!$G64/1000000+Założenia!G237*Założenia!G$257*Założenia!$G72/1000000</f>
        <v>0</v>
      </c>
      <c r="I71" s="141">
        <f>Założenia!H225*Założenia!H$253*Założenia!$G64/1000000+Założenia!H237*Założenia!H$257*Założenia!$G72/1000000</f>
        <v>0</v>
      </c>
      <c r="J71" s="141">
        <f>Założenia!I225*Założenia!I$253*Założenia!$G64/1000000+Założenia!I237*Założenia!I$257*Założenia!$G72/1000000</f>
        <v>0</v>
      </c>
      <c r="K71" s="141">
        <f>Założenia!J225*Założenia!J$253*Założenia!$G64/1000000+Założenia!J237*Założenia!J$257*Założenia!$G72/1000000</f>
        <v>0</v>
      </c>
      <c r="L71" s="141">
        <f>Założenia!K225*Założenia!K$253*Założenia!$G64/1000000+Założenia!K237*Założenia!K$257*Założenia!$G72/1000000</f>
        <v>0</v>
      </c>
      <c r="M71" s="141">
        <f>Założenia!L225*Założenia!L$253*Założenia!$G64/1000000+Założenia!L237*Założenia!L$257*Założenia!$G72/1000000</f>
        <v>0</v>
      </c>
      <c r="N71" s="141">
        <f>Założenia!M225*Założenia!M$253*Założenia!$G64/1000000+Założenia!M237*Założenia!M$257*Założenia!$G72/1000000</f>
        <v>0</v>
      </c>
      <c r="O71" s="141">
        <f>Założenia!N225*Założenia!N$253*Założenia!$G64/1000000+Założenia!N237*Założenia!N$257*Założenia!$G72/1000000</f>
        <v>0</v>
      </c>
      <c r="P71" s="141">
        <f>Założenia!O225*Założenia!O$253*Założenia!$G64/1000000+Założenia!O237*Założenia!O$257*Założenia!$G72/1000000</f>
        <v>0</v>
      </c>
      <c r="Q71" s="141">
        <f>Założenia!P225*Założenia!P$253*Założenia!$G64/1000000+Założenia!P237*Założenia!P$257*Założenia!$G72/1000000</f>
        <v>0</v>
      </c>
      <c r="R71" s="141">
        <f>Założenia!Q225*Założenia!Q$253*Założenia!$G64/1000000+Założenia!Q237*Założenia!Q$257*Założenia!$G72/1000000</f>
        <v>0</v>
      </c>
      <c r="S71" s="141">
        <f>Założenia!R225*Założenia!R$253*Założenia!$G64/1000000+Założenia!R237*Założenia!R$257*Założenia!$G72/1000000</f>
        <v>0</v>
      </c>
      <c r="T71" s="141">
        <f>Założenia!S225*Założenia!S$253*Założenia!$G64/1000000+Założenia!S237*Założenia!S$257*Założenia!$G72/1000000</f>
        <v>0</v>
      </c>
      <c r="U71" s="11"/>
    </row>
    <row r="72" spans="1:21" s="28" customFormat="1" ht="12">
      <c r="A72" s="82"/>
      <c r="B72" s="96" t="s">
        <v>363</v>
      </c>
      <c r="C72" s="175" t="s">
        <v>217</v>
      </c>
      <c r="D72" s="175"/>
      <c r="E72" s="141">
        <f>Założenia!D226*Założenia!D$253*Założenia!$G65/1000000+Założenia!D238*Założenia!D$257*Założenia!$G73/1000000</f>
        <v>0</v>
      </c>
      <c r="F72" s="141">
        <f>Założenia!E226*Założenia!E$253*Założenia!$G65/1000000+Założenia!E238*Założenia!E$257*Założenia!$G73/1000000</f>
        <v>0</v>
      </c>
      <c r="G72" s="141">
        <f>Założenia!F226*Założenia!F$253*Założenia!$G65/1000000+Założenia!F238*Założenia!F$257*Założenia!$G73/1000000</f>
        <v>0</v>
      </c>
      <c r="H72" s="141">
        <f>Założenia!G226*Założenia!G$253*Założenia!$G65/1000000+Założenia!G238*Założenia!G$257*Założenia!$G73/1000000</f>
        <v>0</v>
      </c>
      <c r="I72" s="141">
        <f>Założenia!H226*Założenia!H$253*Założenia!$G65/1000000+Założenia!H238*Założenia!H$257*Założenia!$G73/1000000</f>
        <v>0</v>
      </c>
      <c r="J72" s="141">
        <f>Założenia!I226*Założenia!I$253*Założenia!$G65/1000000+Założenia!I238*Założenia!I$257*Założenia!$G73/1000000</f>
        <v>0</v>
      </c>
      <c r="K72" s="141">
        <f>Założenia!J226*Założenia!J$253*Założenia!$G65/1000000+Założenia!J238*Założenia!J$257*Założenia!$G73/1000000</f>
        <v>0</v>
      </c>
      <c r="L72" s="141">
        <f>Założenia!K226*Założenia!K$253*Założenia!$G65/1000000+Założenia!K238*Założenia!K$257*Założenia!$G73/1000000</f>
        <v>0</v>
      </c>
      <c r="M72" s="141">
        <f>Założenia!L226*Założenia!L$253*Założenia!$G65/1000000+Założenia!L238*Założenia!L$257*Założenia!$G73/1000000</f>
        <v>0</v>
      </c>
      <c r="N72" s="141">
        <f>Założenia!M226*Założenia!M$253*Założenia!$G65/1000000+Założenia!M238*Założenia!M$257*Założenia!$G73/1000000</f>
        <v>0</v>
      </c>
      <c r="O72" s="141">
        <f>Założenia!N226*Założenia!N$253*Założenia!$G65/1000000+Założenia!N238*Założenia!N$257*Założenia!$G73/1000000</f>
        <v>0</v>
      </c>
      <c r="P72" s="141">
        <f>Założenia!O226*Założenia!O$253*Założenia!$G65/1000000+Założenia!O238*Założenia!O$257*Założenia!$G73/1000000</f>
        <v>0</v>
      </c>
      <c r="Q72" s="141">
        <f>Założenia!P226*Założenia!P$253*Założenia!$G65/1000000+Założenia!P238*Założenia!P$257*Założenia!$G73/1000000</f>
        <v>0</v>
      </c>
      <c r="R72" s="141">
        <f>Założenia!Q226*Założenia!Q$253*Założenia!$G65/1000000+Założenia!Q238*Założenia!Q$257*Założenia!$G73/1000000</f>
        <v>0</v>
      </c>
      <c r="S72" s="141">
        <f>Założenia!R226*Założenia!R$253*Założenia!$G65/1000000+Założenia!R238*Założenia!R$257*Założenia!$G73/1000000</f>
        <v>0</v>
      </c>
      <c r="T72" s="141">
        <f>Założenia!S226*Założenia!S$253*Założenia!$G65/1000000+Założenia!S238*Założenia!S$257*Założenia!$G73/1000000</f>
        <v>0</v>
      </c>
      <c r="U72" s="11"/>
    </row>
    <row r="73" spans="1:21" s="28" customFormat="1" ht="12">
      <c r="A73" s="82"/>
      <c r="B73" s="96" t="s">
        <v>364</v>
      </c>
      <c r="C73" s="175" t="s">
        <v>217</v>
      </c>
      <c r="D73" s="175"/>
      <c r="E73" s="141">
        <f>Założenia!D227*Założenia!D$253*Założenia!$G66/1000000+Założenia!D239*Założenia!D$257*Założenia!$G74/1000000</f>
        <v>0</v>
      </c>
      <c r="F73" s="141">
        <f>Założenia!E227*Założenia!E$253*Założenia!$G66/1000000+Założenia!E239*Założenia!E$257*Założenia!$G74/1000000</f>
        <v>0</v>
      </c>
      <c r="G73" s="141">
        <f>Założenia!F227*Założenia!F$253*Założenia!$G66/1000000+Założenia!F239*Założenia!F$257*Założenia!$G74/1000000</f>
        <v>0</v>
      </c>
      <c r="H73" s="141">
        <f>Założenia!G227*Założenia!G$253*Założenia!$G66/1000000+Założenia!G239*Założenia!G$257*Założenia!$G74/1000000</f>
        <v>0</v>
      </c>
      <c r="I73" s="141">
        <f>Założenia!H227*Założenia!H$253*Założenia!$G66/1000000+Założenia!H239*Założenia!H$257*Założenia!$G74/1000000</f>
        <v>0</v>
      </c>
      <c r="J73" s="141">
        <f>Założenia!I227*Założenia!I$253*Założenia!$G66/1000000+Założenia!I239*Założenia!I$257*Założenia!$G74/1000000</f>
        <v>0</v>
      </c>
      <c r="K73" s="141">
        <f>Założenia!J227*Założenia!J$253*Założenia!$G66/1000000+Założenia!J239*Założenia!J$257*Założenia!$G74/1000000</f>
        <v>0</v>
      </c>
      <c r="L73" s="141">
        <f>Założenia!K227*Założenia!K$253*Założenia!$G66/1000000+Założenia!K239*Założenia!K$257*Założenia!$G74/1000000</f>
        <v>0</v>
      </c>
      <c r="M73" s="141">
        <f>Założenia!L227*Założenia!L$253*Założenia!$G66/1000000+Założenia!L239*Założenia!L$257*Założenia!$G74/1000000</f>
        <v>0</v>
      </c>
      <c r="N73" s="141">
        <f>Założenia!M227*Założenia!M$253*Założenia!$G66/1000000+Założenia!M239*Założenia!M$257*Założenia!$G74/1000000</f>
        <v>0</v>
      </c>
      <c r="O73" s="141">
        <f>Założenia!N227*Założenia!N$253*Założenia!$G66/1000000+Założenia!N239*Założenia!N$257*Założenia!$G74/1000000</f>
        <v>0</v>
      </c>
      <c r="P73" s="141">
        <f>Założenia!O227*Założenia!O$253*Założenia!$G66/1000000+Założenia!O239*Założenia!O$257*Założenia!$G74/1000000</f>
        <v>0</v>
      </c>
      <c r="Q73" s="141">
        <f>Założenia!P227*Założenia!P$253*Założenia!$G66/1000000+Założenia!P239*Założenia!P$257*Założenia!$G74/1000000</f>
        <v>0</v>
      </c>
      <c r="R73" s="141">
        <f>Założenia!Q227*Założenia!Q$253*Założenia!$G66/1000000+Założenia!Q239*Założenia!Q$257*Założenia!$G74/1000000</f>
        <v>0</v>
      </c>
      <c r="S73" s="141">
        <f>Założenia!R227*Założenia!R$253*Założenia!$G66/1000000+Założenia!R239*Założenia!R$257*Założenia!$G74/1000000</f>
        <v>0</v>
      </c>
      <c r="T73" s="141">
        <f>Założenia!S227*Założenia!S$253*Założenia!$G66/1000000+Założenia!S239*Założenia!S$257*Założenia!$G74/1000000</f>
        <v>0</v>
      </c>
      <c r="U73" s="11"/>
    </row>
    <row r="74" spans="1:21" s="28" customFormat="1" ht="12">
      <c r="A74" s="82"/>
      <c r="B74" s="96" t="s">
        <v>365</v>
      </c>
      <c r="C74" s="175" t="s">
        <v>217</v>
      </c>
      <c r="D74" s="175"/>
      <c r="E74" s="141">
        <f>Założenia!D228*Założenia!D$253*Założenia!$G67/1000000+Założenia!D230*Założenia!D$253*Założenia!$J67/1000000+Założenia!D240*Założenia!D$257*Założenia!$G75/1000000</f>
        <v>3.9403437647058826E-3</v>
      </c>
      <c r="F74" s="141">
        <f>Założenia!E228*Założenia!E$253*Założenia!$G67/1000000+Założenia!E230*Założenia!E$253*Założenia!$J67/1000000+Założenia!E240*Założenia!E$257*Założenia!$G75/1000000</f>
        <v>3.8879342647058822E-3</v>
      </c>
      <c r="G74" s="141">
        <f>Założenia!F228*Założenia!F$253*Założenia!$G67/1000000+Założenia!F230*Założenia!F$253*Założenia!$J67/1000000+Założenia!F240*Założenia!F$257*Założenia!$G75/1000000</f>
        <v>3.8879342647058822E-3</v>
      </c>
      <c r="H74" s="141">
        <f>Założenia!G228*Założenia!G$253*Założenia!$G67/1000000+Założenia!G230*Założenia!G$253*Założenia!$J67/1000000+Założenia!G240*Założenia!G$257*Założenia!$G75/1000000</f>
        <v>3.8971829999999998E-3</v>
      </c>
      <c r="I74" s="141">
        <f>Założenia!H228*Założenia!H$253*Założenia!$G67/1000000+Założenia!H230*Założenia!H$253*Założenia!$J67/1000000+Założenia!H240*Założenia!H$257*Założenia!$G75/1000000</f>
        <v>3.8971829999999998E-3</v>
      </c>
      <c r="J74" s="141">
        <f>Założenia!I228*Założenia!I$253*Założenia!$G67/1000000+Założenia!I230*Założenia!I$253*Założenia!$J67/1000000+Założenia!I240*Założenia!I$257*Założenia!$G75/1000000</f>
        <v>3.8971829999999998E-3</v>
      </c>
      <c r="K74" s="141">
        <f>Założenia!J228*Założenia!J$253*Założenia!$G67/1000000+Założenia!J230*Założenia!J$253*Założenia!$J67/1000000+Założenia!J240*Założenia!J$257*Założenia!$G75/1000000</f>
        <v>3.9831044210526323E-3</v>
      </c>
      <c r="L74" s="141">
        <f>Założenia!K228*Założenia!K$253*Założenia!$G67/1000000+Założenia!K230*Założenia!K$253*Założenia!$J67/1000000+Założenia!K240*Założenia!K$257*Założenia!$G75/1000000</f>
        <v>0</v>
      </c>
      <c r="M74" s="141">
        <f>Założenia!L228*Założenia!L$253*Założenia!$G67/1000000+Założenia!L230*Założenia!L$253*Założenia!$J67/1000000+Założenia!L240*Założenia!L$257*Założenia!$G75/1000000</f>
        <v>0</v>
      </c>
      <c r="N74" s="141">
        <f>Założenia!M228*Założenia!M$253*Założenia!$G67/1000000+Założenia!M230*Założenia!M$253*Założenia!$J67/1000000+Założenia!M240*Założenia!M$257*Założenia!$G75/1000000</f>
        <v>0</v>
      </c>
      <c r="O74" s="141">
        <f>Założenia!N228*Założenia!N$253*Założenia!$G67/1000000+Założenia!N230*Założenia!N$253*Założenia!$J67/1000000+Założenia!N240*Założenia!N$257*Założenia!$G75/1000000</f>
        <v>0</v>
      </c>
      <c r="P74" s="141">
        <f>Założenia!O228*Założenia!O$253*Założenia!$G67/1000000+Założenia!O230*Założenia!O$253*Założenia!$J67/1000000+Założenia!O240*Założenia!O$257*Założenia!$G75/1000000</f>
        <v>0</v>
      </c>
      <c r="Q74" s="141">
        <f>Założenia!P228*Założenia!P$253*Założenia!$G67/1000000+Założenia!P230*Założenia!P$253*Założenia!$J67/1000000+Założenia!P240*Założenia!P$257*Założenia!$G75/1000000</f>
        <v>0</v>
      </c>
      <c r="R74" s="141">
        <f>Założenia!Q228*Założenia!Q$253*Założenia!$G67/1000000+Założenia!Q230*Założenia!Q$253*Założenia!$J67/1000000+Założenia!Q240*Założenia!Q$257*Założenia!$G75/1000000</f>
        <v>0</v>
      </c>
      <c r="S74" s="141">
        <f>Założenia!R228*Założenia!R$253*Założenia!$G67/1000000+Założenia!R230*Założenia!R$253*Założenia!$J67/1000000+Założenia!R240*Założenia!R$257*Założenia!$G75/1000000</f>
        <v>0</v>
      </c>
      <c r="T74" s="141">
        <f>Założenia!S228*Założenia!S$253*Założenia!$G67/1000000+Założenia!S230*Założenia!S$253*Założenia!$J67/1000000+Założenia!S240*Założenia!S$257*Założenia!$G75/1000000</f>
        <v>0</v>
      </c>
      <c r="U74" s="11"/>
    </row>
    <row r="75" spans="1:21" s="28" customFormat="1" ht="12">
      <c r="A75" s="82"/>
      <c r="B75" s="96" t="s">
        <v>367</v>
      </c>
      <c r="C75" s="175" t="s">
        <v>217</v>
      </c>
      <c r="D75" s="175"/>
      <c r="E75" s="141">
        <f>Założenia!D229*Założenia!D$253*Założenia!$G68/1000000+Założenia!D231*Założenia!D$253*Założenia!$J68/1000000+Założenia!D241*Założenia!D$257*Założenia!$G76/1000000+Założenia!D242*Założenia!D$257*Założenia!$J76/1000000</f>
        <v>2.0037978088235295E-2</v>
      </c>
      <c r="F75" s="141">
        <f>Założenia!E229*Założenia!E$253*Założenia!$G68/1000000+Założenia!E231*Założenia!E$253*Założenia!$J68/1000000+Założenia!E241*Założenia!E$257*Założenia!$G76/1000000+Założenia!E242*Założenia!E$257*Założenia!$J76/1000000</f>
        <v>1.9845373175735294E-2</v>
      </c>
      <c r="G75" s="141">
        <f>Założenia!F229*Założenia!F$253*Założenia!$G68/1000000+Założenia!F231*Założenia!F$253*Założenia!$J68/1000000+Założenia!F241*Założenia!F$257*Założenia!$G76/1000000+Założenia!F242*Założenia!F$257*Założenia!$J76/1000000</f>
        <v>1.9845373175735294E-2</v>
      </c>
      <c r="H75" s="141">
        <f>Założenia!G229*Założenia!G$253*Założenia!$G68/1000000+Założenia!G231*Założenia!G$253*Założenia!$J68/1000000+Założenia!G241*Założenia!G$257*Założenia!$G76/1000000+Założenia!G242*Założenia!G$257*Założenia!$J76/1000000</f>
        <v>1.9818320625000004E-2</v>
      </c>
      <c r="I75" s="141">
        <f>Założenia!H229*Założenia!H$253*Założenia!$G68/1000000+Założenia!H231*Założenia!H$253*Założenia!$J68/1000000+Założenia!H241*Założenia!H$257*Założenia!$G76/1000000+Założenia!H242*Założenia!H$257*Założenia!$J76/1000000</f>
        <v>1.9818320625000004E-2</v>
      </c>
      <c r="J75" s="141">
        <f>Założenia!I229*Założenia!I$253*Założenia!$G68/1000000+Założenia!I231*Założenia!I$253*Założenia!$J68/1000000+Założenia!I241*Założenia!I$257*Założenia!$G76/1000000+Założenia!I242*Założenia!I$257*Założenia!$J76/1000000</f>
        <v>1.9818320625000004E-2</v>
      </c>
      <c r="K75" s="141">
        <f>Założenia!J229*Założenia!J$253*Założenia!$G68/1000000+Założenia!J231*Założenia!J$253*Założenia!$J68/1000000+Założenia!J241*Założenia!J$257*Założenia!$G76/1000000+Założenia!J242*Założenia!J$257*Założenia!$J76/1000000</f>
        <v>1.9567000468421056E-2</v>
      </c>
      <c r="L75" s="141">
        <f>Założenia!K229*Założenia!K$253*Założenia!$G68/1000000+Założenia!K231*Założenia!K$253*Założenia!$J68/1000000+Założenia!K241*Założenia!K$257*Założenia!$G76/1000000+Założenia!K242*Założenia!K$257*Założenia!$J76/1000000</f>
        <v>2.1658130289473689E-2</v>
      </c>
      <c r="M75" s="141">
        <f>Założenia!L229*Założenia!L$253*Założenia!$G68/1000000+Założenia!L231*Założenia!L$253*Założenia!$J68/1000000+Założenia!L241*Założenia!L$257*Założenia!$G76/1000000+Założenia!L242*Założenia!L$257*Założenia!$J76/1000000</f>
        <v>2.1658130289473689E-2</v>
      </c>
      <c r="N75" s="141">
        <f>Założenia!M229*Założenia!M$253*Założenia!$G68/1000000+Założenia!M231*Założenia!M$253*Założenia!$J68/1000000+Założenia!M241*Założenia!M$257*Założenia!$G76/1000000+Założenia!M242*Założenia!M$257*Założenia!$J76/1000000</f>
        <v>2.1658130289473689E-2</v>
      </c>
      <c r="O75" s="141">
        <f>Założenia!N229*Założenia!N$253*Założenia!$G68/1000000+Założenia!N231*Założenia!N$253*Założenia!$J68/1000000+Założenia!N241*Założenia!N$257*Założenia!$G76/1000000+Założenia!N242*Założenia!N$257*Założenia!$J76/1000000</f>
        <v>2.1658130289473689E-2</v>
      </c>
      <c r="P75" s="141">
        <f>Założenia!O229*Założenia!O$253*Założenia!$G68/1000000+Założenia!O231*Założenia!O$253*Założenia!$J68/1000000+Założenia!O241*Założenia!O$257*Założenia!$G76/1000000+Założenia!O242*Założenia!O$257*Założenia!$J76/1000000</f>
        <v>2.1658130289473689E-2</v>
      </c>
      <c r="Q75" s="141">
        <f>Założenia!P229*Założenia!P$253*Założenia!$G68/1000000+Założenia!P231*Założenia!P$253*Założenia!$J68/1000000+Założenia!P241*Założenia!P$257*Założenia!$G76/1000000+Założenia!P242*Założenia!P$257*Założenia!$J76/1000000</f>
        <v>2.1658130289473689E-2</v>
      </c>
      <c r="R75" s="141">
        <f>Założenia!Q229*Założenia!Q$253*Założenia!$G68/1000000+Założenia!Q231*Założenia!Q$253*Założenia!$J68/1000000+Założenia!Q241*Założenia!Q$257*Założenia!$G76/1000000+Założenia!Q242*Założenia!Q$257*Założenia!$J76/1000000</f>
        <v>2.1658130289473689E-2</v>
      </c>
      <c r="S75" s="141">
        <f>Założenia!R229*Założenia!R$253*Założenia!$G68/1000000+Założenia!R231*Założenia!R$253*Założenia!$J68/1000000+Założenia!R241*Założenia!R$257*Założenia!$G76/1000000+Założenia!R242*Założenia!R$257*Założenia!$J76/1000000</f>
        <v>2.1658130289473689E-2</v>
      </c>
      <c r="T75" s="141">
        <f>Założenia!S229*Założenia!S$253*Założenia!$G68/1000000+Założenia!S231*Założenia!S$253*Założenia!$J68/1000000+Założenia!S241*Założenia!S$257*Założenia!$G76/1000000+Założenia!S242*Założenia!S$257*Założenia!$J76/1000000</f>
        <v>2.1658130289473689E-2</v>
      </c>
      <c r="U75" s="11"/>
    </row>
    <row r="76" spans="1:21" s="1" customFormat="1" ht="12">
      <c r="A76" s="82"/>
      <c r="B76" s="94" t="s">
        <v>313</v>
      </c>
      <c r="C76" s="175" t="s">
        <v>217</v>
      </c>
      <c r="D76" s="252"/>
      <c r="E76" s="413">
        <f>Założenia!D233*Założenia!D$255*Założenia!$E$166*Założenia!$E$107*Założenia!E84/1000000+Założenia!D243*Założenia!D$258*Założenia!$E$167*Założenia!$E$107*Założenia!E84/1000000</f>
        <v>2.1539092273796787E-3</v>
      </c>
      <c r="F76" s="413">
        <f>Założenia!E233*Założenia!E$255*Założenia!$E$166*Założenia!$E$107*Założenia!F84/1000000+Założenia!E243*Założenia!E$258*Założenia!$E$167*Założenia!$E$107*Założenia!F84/1000000</f>
        <v>2.0337679979299775E-3</v>
      </c>
      <c r="G76" s="413">
        <f>Założenia!F233*Założenia!F$255*Założenia!$E$166*Założenia!$E$107*Założenia!G84/1000000+Założenia!F243*Założenia!F$258*Założenia!$E$167*Założenia!$E$107*Założenia!G84/1000000</f>
        <v>1.9136267684802758E-3</v>
      </c>
      <c r="H76" s="413">
        <f>Założenia!G233*Założenia!G$255*Założenia!$E$166*Założenia!$E$107*Założenia!H84/1000000+Założenia!G243*Założenia!G$258*Założenia!$E$167*Założenia!$E$107*Założenia!H84/1000000</f>
        <v>1.7934855390305743E-3</v>
      </c>
      <c r="I76" s="413">
        <f>Założenia!H233*Założenia!H$255*Założenia!$E$166*Założenia!$E$107*Założenia!I84/1000000+Założenia!H243*Założenia!H$258*Założenia!$E$167*Założenia!$E$107*Założenia!I84/1000000</f>
        <v>1.7667235406142335E-3</v>
      </c>
      <c r="J76" s="413">
        <f>Założenia!I233*Założenia!I$255*Założenia!$E$166*Założenia!$E$107*Założenia!J84/1000000+Założenia!I243*Założenia!I$258*Założenia!$E$167*Założenia!$E$107*Założenia!J84/1000000</f>
        <v>1.7399615421978926E-3</v>
      </c>
      <c r="K76" s="413">
        <f>Założenia!J233*Założenia!J$255*Założenia!$E$166*Założenia!$E$107*Założenia!K84/1000000+Założenia!J243*Założenia!J$258*Założenia!$E$167*Założenia!$E$107*Założenia!K84/1000000</f>
        <v>1.713199543781552E-3</v>
      </c>
      <c r="L76" s="413">
        <f>Założenia!K233*Założenia!K$255*Założenia!$E$166*Założenia!$E$107*Założenia!L84/1000000+Założenia!K243*Założenia!K$258*Założenia!$E$167*Założenia!$E$107*Założenia!L84/1000000</f>
        <v>1.6864375453652109E-3</v>
      </c>
      <c r="M76" s="413">
        <f>Założenia!L233*Założenia!L$255*Założenia!$E$166*Założenia!$E$107*Założenia!M84/1000000+Założenia!L243*Założenia!L$258*Założenia!$E$167*Założenia!$E$107*Założenia!M84/1000000</f>
        <v>1.6596755469488707E-3</v>
      </c>
      <c r="N76" s="413">
        <f>Założenia!M233*Założenia!M$255*Założenia!$E$166*Założenia!$E$107*Założenia!N84/1000000+Założenia!M243*Założenia!M$258*Założenia!$E$167*Założenia!$E$107*Założenia!N84/1000000</f>
        <v>1.5772313260211115E-3</v>
      </c>
      <c r="O76" s="413">
        <f>Założenia!N233*Założenia!N$255*Założenia!$E$166*Założenia!$E$107*Założenia!O84/1000000+Założenia!N243*Założenia!N$258*Założenia!$E$167*Założenia!$E$107*Założenia!O84/1000000</f>
        <v>1.4947871050933522E-3</v>
      </c>
      <c r="P76" s="413">
        <f>Założenia!O233*Założenia!O$255*Założenia!$E$166*Założenia!$E$107*Założenia!P84/1000000+Założenia!O243*Założenia!O$258*Założenia!$E$167*Założenia!$E$107*Założenia!P84/1000000</f>
        <v>1.412342884165593E-3</v>
      </c>
      <c r="Q76" s="413">
        <f>Założenia!P233*Założenia!P$255*Założenia!$E$166*Założenia!$E$107*Założenia!Q84/1000000+Założenia!P243*Założenia!P$258*Założenia!$E$167*Założenia!$E$107*Założenia!Q84/1000000</f>
        <v>1.3298986632378337E-3</v>
      </c>
      <c r="R76" s="413">
        <f>Założenia!Q233*Założenia!Q$255*Założenia!$E$166*Założenia!$E$107*Założenia!R84/1000000+Założenia!Q243*Założenia!Q$258*Założenia!$E$167*Założenia!$E$107*Założenia!R84/1000000</f>
        <v>1.2474544423100745E-3</v>
      </c>
      <c r="S76" s="413">
        <f>Założenia!R233*Założenia!R$255*Założenia!$E$166*Założenia!$E$107*Założenia!S84/1000000+Założenia!R243*Założenia!R$258*Założenia!$E$167*Założenia!$E$107*Założenia!S84/1000000</f>
        <v>1.1492551739275339E-3</v>
      </c>
      <c r="T76" s="413">
        <f>Założenia!S233*Założenia!S$255*Założenia!$E$166*Założenia!$E$107*Założenia!T84/1000000+Założenia!S243*Założenia!S$258*Założenia!$E$167*Założenia!$E$107*Założenia!T84/1000000</f>
        <v>1.1001555397362637E-3</v>
      </c>
    </row>
    <row r="77" spans="1:21" s="23" customFormat="1">
      <c r="A77" s="82" t="s">
        <v>60</v>
      </c>
      <c r="B77" s="96" t="s">
        <v>180</v>
      </c>
      <c r="C77" s="175" t="s">
        <v>247</v>
      </c>
      <c r="D77" s="175"/>
      <c r="E77" s="157">
        <f>E78+E85</f>
        <v>0.35148493172545453</v>
      </c>
      <c r="F77" s="157">
        <f t="shared" ref="F77:T77" si="17">F78+F85</f>
        <v>0.34777179461504837</v>
      </c>
      <c r="G77" s="157">
        <f t="shared" si="17"/>
        <v>0.34776793986714216</v>
      </c>
      <c r="H77" s="157">
        <f t="shared" si="17"/>
        <v>0.34762512287144182</v>
      </c>
      <c r="I77" s="157">
        <f t="shared" si="17"/>
        <v>0.34761972622437309</v>
      </c>
      <c r="J77" s="157">
        <f t="shared" si="17"/>
        <v>0.34761432957730443</v>
      </c>
      <c r="K77" s="157">
        <f t="shared" si="17"/>
        <v>0.34631796357891997</v>
      </c>
      <c r="L77" s="157">
        <f t="shared" si="17"/>
        <v>0.28188585292132495</v>
      </c>
      <c r="M77" s="157">
        <f t="shared" si="17"/>
        <v>0.28188045627425623</v>
      </c>
      <c r="N77" s="157">
        <f t="shared" si="17"/>
        <v>0.28186445907044544</v>
      </c>
      <c r="O77" s="157">
        <f t="shared" si="17"/>
        <v>0.2818484618666347</v>
      </c>
      <c r="P77" s="157">
        <f t="shared" si="17"/>
        <v>0.28183246466282391</v>
      </c>
      <c r="Q77" s="157">
        <f t="shared" si="17"/>
        <v>0.28181646745901312</v>
      </c>
      <c r="R77" s="157">
        <f t="shared" si="17"/>
        <v>0.28180047025520233</v>
      </c>
      <c r="S77" s="157">
        <f t="shared" si="17"/>
        <v>0.28178071467218302</v>
      </c>
      <c r="T77" s="157">
        <f t="shared" si="17"/>
        <v>0.28177083688067334</v>
      </c>
      <c r="U77" s="11"/>
    </row>
    <row r="78" spans="1:21" s="23" customFormat="1">
      <c r="A78" s="82"/>
      <c r="B78" s="133" t="s">
        <v>314</v>
      </c>
      <c r="C78" s="175" t="s">
        <v>247</v>
      </c>
      <c r="D78" s="175"/>
      <c r="E78" s="157">
        <f>SUM(E79:E84)</f>
        <v>0.3511216217352941</v>
      </c>
      <c r="F78" s="157">
        <f t="shared" ref="F78:T78" si="18">SUM(F79:F84)</f>
        <v>0.34741233937279414</v>
      </c>
      <c r="G78" s="157">
        <f t="shared" si="18"/>
        <v>0.34741233937279414</v>
      </c>
      <c r="H78" s="157">
        <f t="shared" si="18"/>
        <v>0.347273377125</v>
      </c>
      <c r="I78" s="157">
        <f t="shared" si="18"/>
        <v>0.347273377125</v>
      </c>
      <c r="J78" s="157">
        <f t="shared" si="18"/>
        <v>0.347273377125</v>
      </c>
      <c r="K78" s="157">
        <f t="shared" si="18"/>
        <v>0.34598240777368428</v>
      </c>
      <c r="L78" s="157">
        <f t="shared" si="18"/>
        <v>0.28155569376315792</v>
      </c>
      <c r="M78" s="157">
        <f t="shared" si="18"/>
        <v>0.28155569376315792</v>
      </c>
      <c r="N78" s="157">
        <f t="shared" si="18"/>
        <v>0.28155569376315792</v>
      </c>
      <c r="O78" s="157">
        <f t="shared" si="18"/>
        <v>0.28155569376315792</v>
      </c>
      <c r="P78" s="157">
        <f t="shared" si="18"/>
        <v>0.28155569376315792</v>
      </c>
      <c r="Q78" s="157">
        <f t="shared" si="18"/>
        <v>0.28155569376315792</v>
      </c>
      <c r="R78" s="157">
        <f t="shared" si="18"/>
        <v>0.28155569376315792</v>
      </c>
      <c r="S78" s="157">
        <f t="shared" si="18"/>
        <v>0.28155569376315792</v>
      </c>
      <c r="T78" s="157">
        <f t="shared" si="18"/>
        <v>0.28155569376315792</v>
      </c>
      <c r="U78" s="11"/>
    </row>
    <row r="79" spans="1:21" s="23" customFormat="1">
      <c r="A79" s="82"/>
      <c r="B79" s="96" t="s">
        <v>361</v>
      </c>
      <c r="C79" s="175" t="s">
        <v>247</v>
      </c>
      <c r="D79" s="175"/>
      <c r="E79" s="141">
        <f>Założenia!D224*Założenia!D$253*Założenia!$E63/1000000+Założenia!D236*Założenia!D$257*Założenia!$E71/1000000</f>
        <v>0</v>
      </c>
      <c r="F79" s="141">
        <f>Założenia!E224*Założenia!E$253*Założenia!$E63/1000000+Założenia!E236*Założenia!E$257*Założenia!$E71/1000000</f>
        <v>0</v>
      </c>
      <c r="G79" s="141">
        <f>Założenia!F224*Założenia!F$253*Założenia!$E63/1000000+Założenia!F236*Założenia!F$257*Założenia!$E71/1000000</f>
        <v>0</v>
      </c>
      <c r="H79" s="141">
        <f>Założenia!G224*Założenia!G$253*Założenia!$E63/1000000+Założenia!G236*Założenia!G$257*Założenia!$E71/1000000</f>
        <v>0</v>
      </c>
      <c r="I79" s="141">
        <f>Założenia!H224*Założenia!H$253*Założenia!$E63/1000000+Założenia!H236*Założenia!H$257*Założenia!$E71/1000000</f>
        <v>0</v>
      </c>
      <c r="J79" s="141">
        <f>Założenia!I224*Założenia!I$253*Założenia!$E63/1000000+Założenia!I236*Założenia!I$257*Założenia!$E71/1000000</f>
        <v>0</v>
      </c>
      <c r="K79" s="141">
        <f>Założenia!J224*Założenia!J$253*Założenia!$E63/1000000+Założenia!J236*Założenia!J$257*Założenia!$E71/1000000</f>
        <v>0</v>
      </c>
      <c r="L79" s="141">
        <f>Założenia!K224*Założenia!K$253*Założenia!$E63/1000000+Założenia!K236*Założenia!K$257*Założenia!$E71/1000000</f>
        <v>0</v>
      </c>
      <c r="M79" s="141">
        <f>Założenia!L224*Założenia!L$253*Założenia!$E63/1000000+Założenia!L236*Założenia!L$257*Założenia!$E71/1000000</f>
        <v>0</v>
      </c>
      <c r="N79" s="141">
        <f>Założenia!M224*Założenia!M$253*Założenia!$E63/1000000+Założenia!M236*Założenia!M$257*Założenia!$E71/1000000</f>
        <v>0</v>
      </c>
      <c r="O79" s="141">
        <f>Założenia!N224*Założenia!N$253*Założenia!$E63/1000000+Założenia!N236*Założenia!N$257*Założenia!$E71/1000000</f>
        <v>0</v>
      </c>
      <c r="P79" s="141">
        <f>Założenia!O224*Założenia!O$253*Założenia!$E63/1000000+Założenia!O236*Założenia!O$257*Założenia!$E71/1000000</f>
        <v>0</v>
      </c>
      <c r="Q79" s="141">
        <f>Założenia!P224*Założenia!P$253*Założenia!$E63/1000000+Założenia!P236*Założenia!P$257*Założenia!$E71/1000000</f>
        <v>0</v>
      </c>
      <c r="R79" s="141">
        <f>Założenia!Q224*Założenia!Q$253*Założenia!$E63/1000000+Założenia!Q236*Założenia!Q$257*Założenia!$E71/1000000</f>
        <v>0</v>
      </c>
      <c r="S79" s="141">
        <f>Założenia!R224*Założenia!R$253*Założenia!$E63/1000000+Założenia!R236*Założenia!R$257*Założenia!$E71/1000000</f>
        <v>0</v>
      </c>
      <c r="T79" s="141">
        <f>Założenia!S224*Założenia!S$253*Założenia!$E63/1000000+Założenia!S236*Założenia!S$257*Założenia!$E71/1000000</f>
        <v>0</v>
      </c>
      <c r="U79" s="11"/>
    </row>
    <row r="80" spans="1:21" s="28" customFormat="1" ht="12">
      <c r="A80" s="82"/>
      <c r="B80" s="96" t="s">
        <v>362</v>
      </c>
      <c r="C80" s="175" t="s">
        <v>247</v>
      </c>
      <c r="D80" s="175"/>
      <c r="E80" s="141">
        <f>Założenia!D225*Założenia!D$253*Założenia!$E64/1000000+Założenia!D237*Założenia!D$257*Założenia!$E72/1000000</f>
        <v>0</v>
      </c>
      <c r="F80" s="141">
        <f>Założenia!E225*Założenia!E$253*Założenia!$E64/1000000+Założenia!E237*Założenia!E$257*Założenia!$E72/1000000</f>
        <v>0</v>
      </c>
      <c r="G80" s="141">
        <f>Założenia!F225*Założenia!F$253*Założenia!$E64/1000000+Założenia!F237*Założenia!F$257*Założenia!$E72/1000000</f>
        <v>0</v>
      </c>
      <c r="H80" s="141">
        <f>Założenia!G225*Założenia!G$253*Założenia!$E64/1000000+Założenia!G237*Założenia!G$257*Założenia!$E72/1000000</f>
        <v>0</v>
      </c>
      <c r="I80" s="141">
        <f>Założenia!H225*Założenia!H$253*Założenia!$E64/1000000+Założenia!H237*Założenia!H$257*Założenia!$E72/1000000</f>
        <v>0</v>
      </c>
      <c r="J80" s="141">
        <f>Założenia!I225*Założenia!I$253*Założenia!$E64/1000000+Założenia!I237*Założenia!I$257*Założenia!$E72/1000000</f>
        <v>0</v>
      </c>
      <c r="K80" s="141">
        <f>Założenia!J225*Założenia!J$253*Założenia!$E64/1000000+Założenia!J237*Założenia!J$257*Założenia!$E72/1000000</f>
        <v>0</v>
      </c>
      <c r="L80" s="141">
        <f>Założenia!K225*Założenia!K$253*Założenia!$E64/1000000+Założenia!K237*Założenia!K$257*Założenia!$E72/1000000</f>
        <v>0</v>
      </c>
      <c r="M80" s="141">
        <f>Założenia!L225*Założenia!L$253*Założenia!$E64/1000000+Założenia!L237*Założenia!L$257*Założenia!$E72/1000000</f>
        <v>0</v>
      </c>
      <c r="N80" s="141">
        <f>Założenia!M225*Założenia!M$253*Założenia!$E64/1000000+Założenia!M237*Założenia!M$257*Założenia!$E72/1000000</f>
        <v>0</v>
      </c>
      <c r="O80" s="141">
        <f>Założenia!N225*Założenia!N$253*Założenia!$E64/1000000+Założenia!N237*Założenia!N$257*Założenia!$E72/1000000</f>
        <v>0</v>
      </c>
      <c r="P80" s="141">
        <f>Założenia!O225*Założenia!O$253*Założenia!$E64/1000000+Założenia!O237*Założenia!O$257*Założenia!$E72/1000000</f>
        <v>0</v>
      </c>
      <c r="Q80" s="141">
        <f>Założenia!P225*Założenia!P$253*Założenia!$E64/1000000+Założenia!P237*Założenia!P$257*Założenia!$E72/1000000</f>
        <v>0</v>
      </c>
      <c r="R80" s="141">
        <f>Założenia!Q225*Założenia!Q$253*Założenia!$E64/1000000+Założenia!Q237*Założenia!Q$257*Założenia!$E72/1000000</f>
        <v>0</v>
      </c>
      <c r="S80" s="141">
        <f>Założenia!R225*Założenia!R$253*Założenia!$E64/1000000+Założenia!R237*Założenia!R$257*Założenia!$E72/1000000</f>
        <v>0</v>
      </c>
      <c r="T80" s="141">
        <f>Założenia!S225*Założenia!S$253*Założenia!$E64/1000000+Założenia!S237*Założenia!S$257*Założenia!$E72/1000000</f>
        <v>0</v>
      </c>
      <c r="U80" s="11"/>
    </row>
    <row r="81" spans="1:21" s="28" customFormat="1" ht="12">
      <c r="A81" s="82"/>
      <c r="B81" s="96" t="s">
        <v>363</v>
      </c>
      <c r="C81" s="175" t="s">
        <v>247</v>
      </c>
      <c r="D81" s="175"/>
      <c r="E81" s="141">
        <f>Założenia!D226*Założenia!D$253*Założenia!$E65/1000000+Założenia!D238*Założenia!D$257*Założenia!$E73/1000000</f>
        <v>0</v>
      </c>
      <c r="F81" s="141">
        <f>Założenia!E226*Założenia!E$253*Założenia!$E65/1000000+Założenia!E238*Założenia!E$257*Założenia!$E73/1000000</f>
        <v>0</v>
      </c>
      <c r="G81" s="141">
        <f>Założenia!F226*Założenia!F$253*Założenia!$E65/1000000+Założenia!F238*Założenia!F$257*Założenia!$E73/1000000</f>
        <v>0</v>
      </c>
      <c r="H81" s="141">
        <f>Założenia!G226*Założenia!G$253*Założenia!$E65/1000000+Założenia!G238*Założenia!G$257*Założenia!$E73/1000000</f>
        <v>0</v>
      </c>
      <c r="I81" s="141">
        <f>Założenia!H226*Założenia!H$253*Założenia!$E65/1000000+Założenia!H238*Założenia!H$257*Założenia!$E73/1000000</f>
        <v>0</v>
      </c>
      <c r="J81" s="141">
        <f>Założenia!I226*Założenia!I$253*Założenia!$E65/1000000+Założenia!I238*Założenia!I$257*Założenia!$E73/1000000</f>
        <v>0</v>
      </c>
      <c r="K81" s="141">
        <f>Założenia!J226*Założenia!J$253*Założenia!$E65/1000000+Założenia!J238*Założenia!J$257*Założenia!$E73/1000000</f>
        <v>0</v>
      </c>
      <c r="L81" s="141">
        <f>Założenia!K226*Założenia!K$253*Założenia!$E65/1000000+Założenia!K238*Założenia!K$257*Założenia!$E73/1000000</f>
        <v>0</v>
      </c>
      <c r="M81" s="141">
        <f>Założenia!L226*Założenia!L$253*Założenia!$E65/1000000+Założenia!L238*Założenia!L$257*Założenia!$E73/1000000</f>
        <v>0</v>
      </c>
      <c r="N81" s="141">
        <f>Założenia!M226*Założenia!M$253*Założenia!$E65/1000000+Założenia!M238*Założenia!M$257*Założenia!$E73/1000000</f>
        <v>0</v>
      </c>
      <c r="O81" s="141">
        <f>Założenia!N226*Założenia!N$253*Założenia!$E65/1000000+Założenia!N238*Założenia!N$257*Założenia!$E73/1000000</f>
        <v>0</v>
      </c>
      <c r="P81" s="141">
        <f>Założenia!O226*Założenia!O$253*Założenia!$E65/1000000+Założenia!O238*Założenia!O$257*Założenia!$E73/1000000</f>
        <v>0</v>
      </c>
      <c r="Q81" s="141">
        <f>Założenia!P226*Założenia!P$253*Założenia!$E65/1000000+Założenia!P238*Założenia!P$257*Założenia!$E73/1000000</f>
        <v>0</v>
      </c>
      <c r="R81" s="141">
        <f>Założenia!Q226*Założenia!Q$253*Założenia!$E65/1000000+Założenia!Q238*Założenia!Q$257*Założenia!$E73/1000000</f>
        <v>0</v>
      </c>
      <c r="S81" s="141">
        <f>Założenia!R226*Założenia!R$253*Założenia!$E65/1000000+Założenia!R238*Założenia!R$257*Założenia!$E73/1000000</f>
        <v>0</v>
      </c>
      <c r="T81" s="141">
        <f>Założenia!S226*Założenia!S$253*Założenia!$E65/1000000+Założenia!S238*Założenia!S$257*Założenia!$E73/1000000</f>
        <v>0</v>
      </c>
      <c r="U81" s="11"/>
    </row>
    <row r="82" spans="1:21" s="28" customFormat="1" ht="12">
      <c r="A82" s="82"/>
      <c r="B82" s="96" t="s">
        <v>364</v>
      </c>
      <c r="C82" s="175" t="s">
        <v>247</v>
      </c>
      <c r="D82" s="175"/>
      <c r="E82" s="141">
        <f>Założenia!D227*Założenia!D$253*Założenia!$E66/1000000+Założenia!D239*Założenia!D$257*Założenia!$E74/1000000</f>
        <v>0</v>
      </c>
      <c r="F82" s="141">
        <f>Założenia!E227*Założenia!E$253*Założenia!$E66/1000000+Założenia!E239*Założenia!E$257*Założenia!$E74/1000000</f>
        <v>0</v>
      </c>
      <c r="G82" s="141">
        <f>Założenia!F227*Założenia!F$253*Założenia!$E66/1000000+Założenia!F239*Założenia!F$257*Założenia!$E74/1000000</f>
        <v>0</v>
      </c>
      <c r="H82" s="141">
        <f>Założenia!G227*Założenia!G$253*Założenia!$E66/1000000+Założenia!G239*Założenia!G$257*Założenia!$E74/1000000</f>
        <v>0</v>
      </c>
      <c r="I82" s="141">
        <f>Założenia!H227*Założenia!H$253*Założenia!$E66/1000000+Założenia!H239*Założenia!H$257*Założenia!$E74/1000000</f>
        <v>0</v>
      </c>
      <c r="J82" s="141">
        <f>Założenia!I227*Założenia!I$253*Założenia!$E66/1000000+Założenia!I239*Założenia!I$257*Założenia!$E74/1000000</f>
        <v>0</v>
      </c>
      <c r="K82" s="141">
        <f>Założenia!J227*Założenia!J$253*Założenia!$E66/1000000+Założenia!J239*Założenia!J$257*Założenia!$E74/1000000</f>
        <v>0</v>
      </c>
      <c r="L82" s="141">
        <f>Założenia!K227*Założenia!K$253*Założenia!$E66/1000000+Założenia!K239*Założenia!K$257*Założenia!$E74/1000000</f>
        <v>0</v>
      </c>
      <c r="M82" s="141">
        <f>Założenia!L227*Założenia!L$253*Założenia!$E66/1000000+Założenia!L239*Założenia!L$257*Założenia!$E74/1000000</f>
        <v>0</v>
      </c>
      <c r="N82" s="141">
        <f>Założenia!M227*Założenia!M$253*Założenia!$E66/1000000+Założenia!M239*Założenia!M$257*Założenia!$E74/1000000</f>
        <v>0</v>
      </c>
      <c r="O82" s="141">
        <f>Założenia!N227*Założenia!N$253*Założenia!$E66/1000000+Założenia!N239*Założenia!N$257*Założenia!$E74/1000000</f>
        <v>0</v>
      </c>
      <c r="P82" s="141">
        <f>Założenia!O227*Założenia!O$253*Założenia!$E66/1000000+Założenia!O239*Założenia!O$257*Założenia!$E74/1000000</f>
        <v>0</v>
      </c>
      <c r="Q82" s="141">
        <f>Założenia!P227*Założenia!P$253*Założenia!$E66/1000000+Założenia!P239*Założenia!P$257*Założenia!$E74/1000000</f>
        <v>0</v>
      </c>
      <c r="R82" s="141">
        <f>Założenia!Q227*Założenia!Q$253*Założenia!$E66/1000000+Założenia!Q239*Założenia!Q$257*Założenia!$E74/1000000</f>
        <v>0</v>
      </c>
      <c r="S82" s="141">
        <f>Założenia!R227*Założenia!R$253*Założenia!$E66/1000000+Założenia!R239*Założenia!R$257*Założenia!$E74/1000000</f>
        <v>0</v>
      </c>
      <c r="T82" s="141">
        <f>Założenia!S227*Założenia!S$253*Założenia!$E66/1000000+Założenia!S239*Założenia!S$257*Założenia!$E74/1000000</f>
        <v>0</v>
      </c>
      <c r="U82" s="11"/>
    </row>
    <row r="83" spans="1:21" s="28" customFormat="1" ht="12">
      <c r="A83" s="82"/>
      <c r="B83" s="96" t="s">
        <v>365</v>
      </c>
      <c r="C83" s="175" t="s">
        <v>247</v>
      </c>
      <c r="D83" s="175"/>
      <c r="E83" s="141">
        <f>Założenia!D228*Założenia!D$253*Założenia!$E67/1000000+Założenia!D230*Założenia!D$253*Założenia!$H67/1000000+Założenia!D240*Założenia!D$257*Założenia!$E75/1000000</f>
        <v>9.0627906588235288E-2</v>
      </c>
      <c r="F83" s="141">
        <f>Założenia!E228*Założenia!E$253*Założenia!$E67/1000000+Założenia!E230*Założenia!E$253*Założenia!$H67/1000000+Założenia!E240*Założenia!E$257*Założenia!$E75/1000000</f>
        <v>8.9422488088235288E-2</v>
      </c>
      <c r="G83" s="141">
        <f>Założenia!F228*Założenia!F$253*Założenia!$E67/1000000+Założenia!F230*Założenia!F$253*Założenia!$H67/1000000+Założenia!F240*Założenia!F$257*Założenia!$E75/1000000</f>
        <v>8.9422488088235288E-2</v>
      </c>
      <c r="H83" s="141">
        <f>Założenia!G228*Założenia!G$253*Założenia!$E67/1000000+Założenia!G230*Założenia!G$253*Założenia!$H67/1000000+Założenia!G240*Założenia!G$257*Założenia!$E75/1000000</f>
        <v>8.9635209000000007E-2</v>
      </c>
      <c r="I83" s="141">
        <f>Założenia!H228*Założenia!H$253*Założenia!$E67/1000000+Założenia!H230*Założenia!H$253*Założenia!$H67/1000000+Założenia!H240*Założenia!H$257*Założenia!$E75/1000000</f>
        <v>8.9635209000000007E-2</v>
      </c>
      <c r="J83" s="141">
        <f>Założenia!I228*Założenia!I$253*Założenia!$E67/1000000+Założenia!I230*Założenia!I$253*Założenia!$H67/1000000+Założenia!I240*Założenia!I$257*Założenia!$E75/1000000</f>
        <v>8.9635209000000007E-2</v>
      </c>
      <c r="K83" s="141">
        <f>Założenia!J228*Założenia!J$253*Założenia!$E67/1000000+Założenia!J230*Założenia!J$253*Założenia!$H67/1000000+Założenia!J240*Założenia!J$257*Założenia!$E75/1000000</f>
        <v>9.1611401684210531E-2</v>
      </c>
      <c r="L83" s="141">
        <f>Założenia!K228*Założenia!K$253*Założenia!$E67/1000000+Założenia!K230*Założenia!K$253*Założenia!$H67/1000000+Założenia!K240*Założenia!K$257*Założenia!$E75/1000000</f>
        <v>0</v>
      </c>
      <c r="M83" s="141">
        <f>Założenia!L228*Założenia!L$253*Założenia!$E67/1000000+Założenia!L230*Założenia!L$253*Założenia!$H67/1000000+Założenia!L240*Założenia!L$257*Założenia!$E75/1000000</f>
        <v>0</v>
      </c>
      <c r="N83" s="141">
        <f>Założenia!M228*Założenia!M$253*Założenia!$E67/1000000+Założenia!M230*Założenia!M$253*Założenia!$H67/1000000+Założenia!M240*Założenia!M$257*Założenia!$E75/1000000</f>
        <v>0</v>
      </c>
      <c r="O83" s="141">
        <f>Założenia!N228*Założenia!N$253*Założenia!$E67/1000000+Założenia!N230*Założenia!N$253*Założenia!$H67/1000000+Założenia!N240*Założenia!N$257*Założenia!$E75/1000000</f>
        <v>0</v>
      </c>
      <c r="P83" s="141">
        <f>Założenia!O228*Założenia!O$253*Założenia!$E67/1000000+Założenia!O230*Założenia!O$253*Założenia!$H67/1000000+Założenia!O240*Założenia!O$257*Założenia!$E75/1000000</f>
        <v>0</v>
      </c>
      <c r="Q83" s="141">
        <f>Założenia!P228*Założenia!P$253*Założenia!$E67/1000000+Założenia!P230*Założenia!P$253*Założenia!$H67/1000000+Założenia!P240*Założenia!P$257*Założenia!$E75/1000000</f>
        <v>0</v>
      </c>
      <c r="R83" s="141">
        <f>Założenia!Q228*Założenia!Q$253*Założenia!$E67/1000000+Założenia!Q230*Założenia!Q$253*Założenia!$H67/1000000+Założenia!Q240*Założenia!Q$257*Założenia!$E75/1000000</f>
        <v>0</v>
      </c>
      <c r="S83" s="141">
        <f>Założenia!R228*Założenia!R$253*Założenia!$E67/1000000+Założenia!R230*Założenia!R$253*Założenia!$H67/1000000+Założenia!R240*Założenia!R$257*Założenia!$E75/1000000</f>
        <v>0</v>
      </c>
      <c r="T83" s="141">
        <f>Założenia!S228*Założenia!S$253*Założenia!$E67/1000000+Założenia!S230*Założenia!S$253*Założenia!$H67/1000000+Założenia!S240*Założenia!S$257*Założenia!$E75/1000000</f>
        <v>0</v>
      </c>
      <c r="U83" s="11"/>
    </row>
    <row r="84" spans="1:21" s="28" customFormat="1" ht="12">
      <c r="A84" s="82"/>
      <c r="B84" s="96" t="s">
        <v>367</v>
      </c>
      <c r="C84" s="175" t="s">
        <v>247</v>
      </c>
      <c r="D84" s="175"/>
      <c r="E84" s="141">
        <f>Założenia!D229*Założenia!D$253*Założenia!$E68/1000000+Założenia!D231*Założenia!D$253*Założenia!$H68/1000000+Założenia!D241*Założenia!D$257*Założenia!$E76/1000000+Założenia!D242*Założenia!D$257*Założenia!$H76/1000000</f>
        <v>0.26049371514705882</v>
      </c>
      <c r="F84" s="141">
        <f>Założenia!E229*Założenia!E$253*Założenia!$E68/1000000+Założenia!E231*Założenia!E$253*Założenia!$H68/1000000+Założenia!E241*Założenia!E$257*Założenia!$E76/1000000+Założenia!E242*Założenia!E$257*Założenia!$H76/1000000</f>
        <v>0.25798985128455887</v>
      </c>
      <c r="G84" s="141">
        <f>Założenia!F229*Założenia!F$253*Założenia!$E68/1000000+Założenia!F231*Założenia!F$253*Założenia!$H68/1000000+Założenia!F241*Założenia!F$257*Założenia!$E76/1000000+Założenia!F242*Założenia!F$257*Założenia!$H76/1000000</f>
        <v>0.25798985128455887</v>
      </c>
      <c r="H84" s="141">
        <f>Założenia!G229*Założenia!G$253*Założenia!$E68/1000000+Założenia!G231*Założenia!G$253*Założenia!$H68/1000000+Założenia!G241*Założenia!G$257*Założenia!$E76/1000000+Założenia!G242*Założenia!G$257*Założenia!$H76/1000000</f>
        <v>0.25763816812500001</v>
      </c>
      <c r="I84" s="141">
        <f>Założenia!H229*Założenia!H$253*Założenia!$E68/1000000+Założenia!H231*Założenia!H$253*Założenia!$H68/1000000+Założenia!H241*Założenia!H$257*Założenia!$E76/1000000+Założenia!H242*Założenia!H$257*Założenia!$H76/1000000</f>
        <v>0.25763816812500001</v>
      </c>
      <c r="J84" s="141">
        <f>Założenia!I229*Założenia!I$253*Założenia!$E68/1000000+Założenia!I231*Założenia!I$253*Założenia!$H68/1000000+Założenia!I241*Założenia!I$257*Założenia!$E76/1000000+Założenia!I242*Założenia!I$257*Założenia!$H76/1000000</f>
        <v>0.25763816812500001</v>
      </c>
      <c r="K84" s="141">
        <f>Założenia!J229*Założenia!J$253*Założenia!$E68/1000000+Założenia!J231*Założenia!J$253*Założenia!$H68/1000000+Założenia!J241*Założenia!J$257*Założenia!$E76/1000000+Założenia!J242*Założenia!J$257*Założenia!$H76/1000000</f>
        <v>0.25437100608947372</v>
      </c>
      <c r="L84" s="141">
        <f>Założenia!K229*Założenia!K$253*Założenia!$E68/1000000+Założenia!K231*Założenia!K$253*Założenia!$H68/1000000+Założenia!K241*Założenia!K$257*Założenia!$E76/1000000+Założenia!K242*Założenia!K$257*Założenia!$H76/1000000</f>
        <v>0.28155569376315792</v>
      </c>
      <c r="M84" s="141">
        <f>Założenia!L229*Założenia!L$253*Założenia!$E68/1000000+Założenia!L231*Założenia!L$253*Założenia!$H68/1000000+Założenia!L241*Założenia!L$257*Założenia!$E76/1000000+Założenia!L242*Założenia!L$257*Założenia!$H76/1000000</f>
        <v>0.28155569376315792</v>
      </c>
      <c r="N84" s="141">
        <f>Założenia!M229*Założenia!M$253*Założenia!$E68/1000000+Założenia!M231*Założenia!M$253*Założenia!$H68/1000000+Założenia!M241*Założenia!M$257*Założenia!$E76/1000000+Założenia!M242*Założenia!M$257*Założenia!$H76/1000000</f>
        <v>0.28155569376315792</v>
      </c>
      <c r="O84" s="141">
        <f>Założenia!N229*Założenia!N$253*Założenia!$E68/1000000+Założenia!N231*Założenia!N$253*Założenia!$H68/1000000+Założenia!N241*Założenia!N$257*Założenia!$E76/1000000+Założenia!N242*Założenia!N$257*Założenia!$H76/1000000</f>
        <v>0.28155569376315792</v>
      </c>
      <c r="P84" s="141">
        <f>Założenia!O229*Założenia!O$253*Założenia!$E68/1000000+Założenia!O231*Założenia!O$253*Założenia!$H68/1000000+Założenia!O241*Założenia!O$257*Założenia!$E76/1000000+Założenia!O242*Założenia!O$257*Założenia!$H76/1000000</f>
        <v>0.28155569376315792</v>
      </c>
      <c r="Q84" s="141">
        <f>Założenia!P229*Założenia!P$253*Założenia!$E68/1000000+Założenia!P231*Założenia!P$253*Założenia!$H68/1000000+Założenia!P241*Założenia!P$257*Założenia!$E76/1000000+Założenia!P242*Założenia!P$257*Założenia!$H76/1000000</f>
        <v>0.28155569376315792</v>
      </c>
      <c r="R84" s="141">
        <f>Założenia!Q229*Założenia!Q$253*Założenia!$E68/1000000+Założenia!Q231*Założenia!Q$253*Założenia!$H68/1000000+Założenia!Q241*Założenia!Q$257*Założenia!$E76/1000000+Założenia!Q242*Założenia!Q$257*Założenia!$H76/1000000</f>
        <v>0.28155569376315792</v>
      </c>
      <c r="S84" s="141">
        <f>Założenia!R229*Założenia!R$253*Założenia!$E68/1000000+Założenia!R231*Założenia!R$253*Założenia!$H68/1000000+Założenia!R241*Założenia!R$257*Założenia!$E76/1000000+Założenia!R242*Założenia!R$257*Założenia!$H76/1000000</f>
        <v>0.28155569376315792</v>
      </c>
      <c r="T84" s="141">
        <f>Założenia!S229*Założenia!S$253*Założenia!$E68/1000000+Założenia!S231*Założenia!S$253*Założenia!$H68/1000000+Założenia!S241*Założenia!S$257*Założenia!$E76/1000000+Założenia!S242*Założenia!S$257*Założenia!$H76/1000000</f>
        <v>0.28155569376315792</v>
      </c>
      <c r="U84" s="11"/>
    </row>
    <row r="85" spans="1:21" s="1" customFormat="1" ht="12">
      <c r="A85" s="82"/>
      <c r="B85" s="94" t="s">
        <v>313</v>
      </c>
      <c r="C85" s="175" t="s">
        <v>247</v>
      </c>
      <c r="D85" s="252"/>
      <c r="E85" s="413">
        <f>Założenia!D233*Założenia!D$255*Założenia!$E$166*Założenia!$E$107*Założenia!E81/1000000+Założenia!D243*Założenia!D$258*Założenia!$E$167*Założenia!$E$107*Założenia!E81/1000000</f>
        <v>3.6330999016042769E-4</v>
      </c>
      <c r="F85" s="413">
        <f>Założenia!E233*Założenia!E$255*Założenia!$E$166*Założenia!$E$107*Założenia!F81/1000000+Założenia!E243*Założenia!E$258*Założenia!$E$167*Założenia!$E$107*Założenia!F81/1000000</f>
        <v>3.5945524225421626E-4</v>
      </c>
      <c r="G85" s="413">
        <f>Założenia!F233*Założenia!F$255*Założenia!$E$166*Założenia!$E$107*Założenia!G81/1000000+Założenia!F243*Założenia!F$258*Założenia!$E$167*Założenia!$E$107*Założenia!G81/1000000</f>
        <v>3.5560049434800483E-4</v>
      </c>
      <c r="H85" s="413">
        <f>Założenia!G233*Założenia!G$255*Założenia!$E$166*Założenia!$E$107*Założenia!H81/1000000+Założenia!G243*Założenia!G$258*Założenia!$E$167*Założenia!$E$107*Założenia!H81/1000000</f>
        <v>3.517457464417934E-4</v>
      </c>
      <c r="I85" s="413">
        <f>Założenia!H233*Założenia!H$255*Założenia!$E$166*Założenia!$E$107*Założenia!I81/1000000+Założenia!H243*Założenia!H$258*Założenia!$E$167*Założenia!$E$107*Założenia!I81/1000000</f>
        <v>3.463490993730974E-4</v>
      </c>
      <c r="J85" s="413">
        <f>Założenia!I233*Założenia!I$255*Założenia!$E$166*Założenia!$E$107*Założenia!J81/1000000+Założenia!I243*Założenia!I$258*Założenia!$E$167*Założenia!$E$107*Założenia!J81/1000000</f>
        <v>3.4095245230440134E-4</v>
      </c>
      <c r="K85" s="413">
        <f>Założenia!J233*Założenia!J$255*Założenia!$E$166*Założenia!$E$107*Założenia!K81/1000000+Założenia!J243*Założenia!J$258*Założenia!$E$167*Założenia!$E$107*Założenia!K81/1000000</f>
        <v>3.3555580523570534E-4</v>
      </c>
      <c r="L85" s="413">
        <f>Założenia!K233*Założenia!K$255*Założenia!$E$166*Założenia!$E$107*Założenia!L81/1000000+Założenia!K243*Założenia!K$258*Założenia!$E$167*Założenia!$E$107*Założenia!L81/1000000</f>
        <v>3.3015915816700928E-4</v>
      </c>
      <c r="M85" s="413">
        <f>Założenia!L233*Założenia!L$255*Założenia!$E$166*Założenia!$E$107*Założenia!M81/1000000+Założenia!L243*Założenia!L$258*Założenia!$E$167*Założenia!$E$107*Założenia!M81/1000000</f>
        <v>3.2476251109831334E-4</v>
      </c>
      <c r="N85" s="413">
        <f>Założenia!M233*Założenia!M$255*Założenia!$E$166*Założenia!$E$107*Założenia!N81/1000000+Założenia!M243*Założenia!M$258*Założenia!$E$167*Założenia!$E$107*Założenia!N81/1000000</f>
        <v>3.0876530728753593E-4</v>
      </c>
      <c r="O85" s="413">
        <f>Założenia!N233*Założenia!N$255*Założenia!$E$166*Założenia!$E$107*Założenia!O81/1000000+Założenia!N243*Założenia!N$258*Założenia!$E$167*Założenia!$E$107*Założenia!O81/1000000</f>
        <v>2.9276810347675841E-4</v>
      </c>
      <c r="P85" s="413">
        <f>Założenia!O233*Założenia!O$255*Założenia!$E$166*Założenia!$E$107*Założenia!P81/1000000+Założenia!O243*Założenia!O$258*Założenia!$E$167*Założenia!$E$107*Założenia!P81/1000000</f>
        <v>2.7677089966598095E-4</v>
      </c>
      <c r="Q85" s="413">
        <f>Założenia!P233*Założenia!P$255*Założenia!$E$166*Założenia!$E$107*Założenia!Q81/1000000+Założenia!P243*Założenia!P$258*Założenia!$E$167*Założenia!$E$107*Założenia!Q81/1000000</f>
        <v>2.6077369585520349E-4</v>
      </c>
      <c r="R85" s="413">
        <f>Założenia!Q233*Założenia!Q$255*Założenia!$E$166*Założenia!$E$107*Założenia!R81/1000000+Założenia!Q243*Założenia!Q$258*Założenia!$E$167*Założenia!$E$107*Założenia!R81/1000000</f>
        <v>2.4477649204442608E-4</v>
      </c>
      <c r="S85" s="413">
        <f>Założenia!R233*Założenia!R$255*Założenia!$E$166*Założenia!$E$107*Założenia!S81/1000000+Założenia!R243*Założenia!R$258*Założenia!$E$167*Założenia!$E$107*Założenia!S81/1000000</f>
        <v>2.2502090902509249E-4</v>
      </c>
      <c r="T85" s="413">
        <f>Założenia!S233*Założenia!S$255*Założenia!$E$166*Założenia!$E$107*Założenia!T81/1000000+Założenia!S243*Założenia!S$258*Założenia!$E$167*Założenia!$E$107*Założenia!T81/1000000</f>
        <v>2.1514311751542569E-4</v>
      </c>
    </row>
    <row r="86" spans="1:21" s="23" customFormat="1">
      <c r="A86" s="37" t="s">
        <v>29</v>
      </c>
      <c r="B86" s="133" t="s">
        <v>154</v>
      </c>
      <c r="C86" s="175" t="s">
        <v>0</v>
      </c>
      <c r="D86" s="253"/>
      <c r="E86" s="92">
        <f>E90+E94+E98</f>
        <v>560167.96014155017</v>
      </c>
      <c r="F86" s="92">
        <f t="shared" ref="F86:T86" si="19">F90+F94+F98</f>
        <v>559044.14519722271</v>
      </c>
      <c r="G86" s="92">
        <f t="shared" si="19"/>
        <v>572602.89128173818</v>
      </c>
      <c r="H86" s="92">
        <f t="shared" si="19"/>
        <v>588419.39422254625</v>
      </c>
      <c r="I86" s="92">
        <f t="shared" si="19"/>
        <v>603809.32982207974</v>
      </c>
      <c r="J86" s="92">
        <f t="shared" si="19"/>
        <v>619692.57095294259</v>
      </c>
      <c r="K86" s="92">
        <f t="shared" si="19"/>
        <v>635663.22184365557</v>
      </c>
      <c r="L86" s="92">
        <f t="shared" si="19"/>
        <v>648529.87231721578</v>
      </c>
      <c r="M86" s="92">
        <f t="shared" si="19"/>
        <v>664831.59034497477</v>
      </c>
      <c r="N86" s="92">
        <f t="shared" si="19"/>
        <v>681648.50305746647</v>
      </c>
      <c r="O86" s="92">
        <f t="shared" si="19"/>
        <v>698445.03293388116</v>
      </c>
      <c r="P86" s="92">
        <f t="shared" si="19"/>
        <v>715751.85836018529</v>
      </c>
      <c r="Q86" s="92">
        <f t="shared" si="19"/>
        <v>733002.48618842603</v>
      </c>
      <c r="R86" s="92">
        <f t="shared" si="19"/>
        <v>750160.4432928866</v>
      </c>
      <c r="S86" s="92">
        <f t="shared" si="19"/>
        <v>767198.9988832518</v>
      </c>
      <c r="T86" s="92">
        <f t="shared" si="19"/>
        <v>784081.56065529399</v>
      </c>
      <c r="U86" s="11"/>
    </row>
    <row r="87" spans="1:21" s="23" customFormat="1">
      <c r="A87" s="82" t="s">
        <v>50</v>
      </c>
      <c r="B87" s="133" t="s">
        <v>370</v>
      </c>
      <c r="C87" s="175"/>
      <c r="D87" s="175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1"/>
    </row>
    <row r="88" spans="1:21" s="23" customFormat="1">
      <c r="A88" s="82"/>
      <c r="B88" s="96" t="s">
        <v>155</v>
      </c>
      <c r="C88" s="175" t="s">
        <v>142</v>
      </c>
      <c r="D88" s="175"/>
      <c r="E88" s="140">
        <f>Założenia!E26</f>
        <v>0.60293707892576454</v>
      </c>
      <c r="F88" s="140">
        <f>Założenia!F26</f>
        <v>0.6082900597151405</v>
      </c>
      <c r="G88" s="140">
        <f>Założenia!G26</f>
        <v>0.62304318884862364</v>
      </c>
      <c r="H88" s="140">
        <f>Założenia!H26</f>
        <v>0.6402449056498758</v>
      </c>
      <c r="I88" s="140">
        <f>Założenia!I26</f>
        <v>0.65699032220586784</v>
      </c>
      <c r="J88" s="140">
        <f>Założenia!J26</f>
        <v>0.67427249257463973</v>
      </c>
      <c r="K88" s="140">
        <f>Założenia!K26</f>
        <v>0.6915689537590668</v>
      </c>
      <c r="L88" s="140">
        <f>Założenia!L26</f>
        <v>0.70940991678558207</v>
      </c>
      <c r="M88" s="140">
        <f>Założenia!M26</f>
        <v>0.72724194106568785</v>
      </c>
      <c r="N88" s="140">
        <f>Założenia!N26</f>
        <v>0.74563752337762157</v>
      </c>
      <c r="O88" s="140">
        <f>Założenia!O26</f>
        <v>0.76401080943665689</v>
      </c>
      <c r="P88" s="140">
        <f>Założenia!P26</f>
        <v>0.78294229449166097</v>
      </c>
      <c r="Q88" s="140">
        <f>Założenia!Q26</f>
        <v>0.80181230645950674</v>
      </c>
      <c r="R88" s="140">
        <f>Założenia!R26</f>
        <v>0.82058094833901629</v>
      </c>
      <c r="S88" s="140">
        <f>Założenia!S26</f>
        <v>0.83921898001567463</v>
      </c>
      <c r="T88" s="140">
        <f>Założenia!T26</f>
        <v>0.85768637412203863</v>
      </c>
      <c r="U88" s="11"/>
    </row>
    <row r="89" spans="1:21" s="23" customFormat="1">
      <c r="A89" s="82"/>
      <c r="B89" s="96" t="s">
        <v>76</v>
      </c>
      <c r="C89" s="175" t="s">
        <v>134</v>
      </c>
      <c r="D89" s="175"/>
      <c r="E89" s="91">
        <f>(Założenia!D224+Założenia!D225+Założenia!D226+Założenia!D227+Założenia!D228)*Założenia!D253+(Założenia!D236+Założenia!D237+Założenia!D238+Założenia!D239+Założenia!D240)*Założenia!D257</f>
        <v>98508.594117647051</v>
      </c>
      <c r="F89" s="91">
        <f>(Założenia!E224+Założenia!E225+Założenia!E226+Założenia!E227+Założenia!E228)*Założenia!E253+(Założenia!E236+Założenia!E237+Założenia!E238+Założenia!E239+Założenia!E240)*Założenia!E257</f>
        <v>97198.356617647049</v>
      </c>
      <c r="G89" s="91">
        <f>(Założenia!F224+Założenia!F225+Założenia!F226+Założenia!F227+Założenia!F228)*Założenia!F253+(Założenia!F236+Założenia!F237+Założenia!F238+Założenia!F239+Założenia!F240)*Założenia!F257</f>
        <v>97198.356617647049</v>
      </c>
      <c r="H89" s="91">
        <f>(Założenia!G224+Założenia!G225+Założenia!G226+Założenia!G227+Założenia!G228)*Założenia!G253+(Założenia!G236+Założenia!G237+Założenia!G238+Założenia!G239+Założenia!G240)*Założenia!G257</f>
        <v>97429.574999999997</v>
      </c>
      <c r="I89" s="91">
        <f>(Założenia!H224+Założenia!H225+Założenia!H226+Założenia!H227+Założenia!H228)*Założenia!H253+(Założenia!H236+Założenia!H237+Założenia!H238+Założenia!H239+Założenia!H240)*Założenia!H257</f>
        <v>97429.574999999997</v>
      </c>
      <c r="J89" s="91">
        <f>(Założenia!I224+Założenia!I225+Założenia!I226+Założenia!I227+Założenia!I228)*Założenia!I253+(Założenia!I236+Założenia!I237+Założenia!I238+Założenia!I239+Założenia!I240)*Założenia!I257</f>
        <v>97429.574999999997</v>
      </c>
      <c r="K89" s="91">
        <f>(Założenia!J224+Założenia!J225+Założenia!J226+Założenia!J227+Założenia!J228)*Założenia!J253+(Założenia!J236+Założenia!J237+Założenia!J238+Założenia!J239+Założenia!J240)*Założenia!J257</f>
        <v>99577.610526315795</v>
      </c>
      <c r="L89" s="91">
        <f>(Założenia!K224+Założenia!K225+Założenia!K226+Założenia!K227+Założenia!K228)*Założenia!K253+(Założenia!K236+Założenia!K237+Założenia!K238+Założenia!K239+Założenia!K240)*Założenia!K257</f>
        <v>0</v>
      </c>
      <c r="M89" s="91">
        <f>(Założenia!L224+Założenia!L225+Założenia!L226+Założenia!L227+Założenia!L228)*Założenia!L253+(Założenia!L236+Założenia!L237+Założenia!L238+Założenia!L239+Założenia!L240)*Założenia!L257</f>
        <v>0</v>
      </c>
      <c r="N89" s="91">
        <f>(Założenia!M224+Założenia!M225+Założenia!M226+Założenia!M227+Założenia!M228)*Założenia!M253+(Założenia!M236+Założenia!M237+Założenia!M238+Założenia!M239+Założenia!M240)*Założenia!M257</f>
        <v>0</v>
      </c>
      <c r="O89" s="91">
        <f>(Założenia!N224+Założenia!N225+Założenia!N226+Założenia!N227+Założenia!N228)*Założenia!N253+(Założenia!N236+Założenia!N237+Założenia!N238+Założenia!N239+Założenia!N240)*Założenia!N257</f>
        <v>0</v>
      </c>
      <c r="P89" s="91">
        <f>(Założenia!O224+Założenia!O225+Założenia!O226+Założenia!O227+Założenia!O228)*Założenia!O253+(Założenia!O236+Założenia!O237+Założenia!O238+Założenia!O239+Założenia!O240)*Założenia!O257</f>
        <v>0</v>
      </c>
      <c r="Q89" s="91">
        <f>(Założenia!P224+Założenia!P225+Założenia!P226+Założenia!P227+Założenia!P228)*Założenia!P253+(Założenia!P236+Założenia!P237+Założenia!P238+Założenia!P239+Założenia!P240)*Założenia!P257</f>
        <v>0</v>
      </c>
      <c r="R89" s="91">
        <f>(Założenia!Q224+Założenia!Q225+Założenia!Q226+Założenia!Q227+Założenia!Q228)*Założenia!Q253+(Założenia!Q236+Założenia!Q237+Założenia!Q238+Założenia!Q239+Założenia!Q240)*Założenia!Q257</f>
        <v>0</v>
      </c>
      <c r="S89" s="91">
        <f>(Założenia!R224+Założenia!R225+Założenia!R226+Założenia!R227+Założenia!R228)*Założenia!R253+(Założenia!R236+Założenia!R237+Założenia!R238+Założenia!R239+Założenia!R240)*Założenia!R257</f>
        <v>0</v>
      </c>
      <c r="T89" s="91">
        <f>(Założenia!S224+Założenia!S225+Założenia!S226+Założenia!S227+Założenia!S228)*Założenia!S253+(Założenia!S236+Założenia!S237+Założenia!S238+Założenia!S239+Założenia!S240)*Założenia!S257</f>
        <v>0</v>
      </c>
      <c r="U89" s="11"/>
    </row>
    <row r="90" spans="1:21" s="23" customFormat="1">
      <c r="A90" s="82"/>
      <c r="B90" s="96" t="s">
        <v>156</v>
      </c>
      <c r="C90" s="175" t="s">
        <v>0</v>
      </c>
      <c r="D90" s="175"/>
      <c r="E90" s="91">
        <f>E88*E89</f>
        <v>59394.483986377862</v>
      </c>
      <c r="F90" s="91">
        <f t="shared" ref="F90:T90" si="20">F88*F89</f>
        <v>59124.794151162045</v>
      </c>
      <c r="G90" s="91">
        <f t="shared" si="20"/>
        <v>60558.774057904535</v>
      </c>
      <c r="H90" s="91">
        <f t="shared" si="20"/>
        <v>62378.789053382498</v>
      </c>
      <c r="I90" s="91">
        <f t="shared" si="20"/>
        <v>64010.28787163076</v>
      </c>
      <c r="J90" s="91">
        <f t="shared" si="20"/>
        <v>65694.082385737798</v>
      </c>
      <c r="K90" s="91">
        <f t="shared" si="20"/>
        <v>68864.78392951205</v>
      </c>
      <c r="L90" s="91">
        <f t="shared" si="20"/>
        <v>0</v>
      </c>
      <c r="M90" s="91">
        <f t="shared" si="20"/>
        <v>0</v>
      </c>
      <c r="N90" s="91">
        <f t="shared" si="20"/>
        <v>0</v>
      </c>
      <c r="O90" s="91">
        <f t="shared" si="20"/>
        <v>0</v>
      </c>
      <c r="P90" s="91">
        <f t="shared" si="20"/>
        <v>0</v>
      </c>
      <c r="Q90" s="91">
        <f t="shared" si="20"/>
        <v>0</v>
      </c>
      <c r="R90" s="91">
        <f t="shared" si="20"/>
        <v>0</v>
      </c>
      <c r="S90" s="91">
        <f t="shared" si="20"/>
        <v>0</v>
      </c>
      <c r="T90" s="91">
        <f t="shared" si="20"/>
        <v>0</v>
      </c>
      <c r="U90" s="11"/>
    </row>
    <row r="91" spans="1:21" s="23" customFormat="1">
      <c r="A91" s="82" t="s">
        <v>51</v>
      </c>
      <c r="B91" s="133" t="s">
        <v>369</v>
      </c>
      <c r="C91" s="175"/>
      <c r="D91" s="175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1"/>
    </row>
    <row r="92" spans="1:21" s="23" customFormat="1">
      <c r="A92" s="82"/>
      <c r="B92" s="96" t="s">
        <v>155</v>
      </c>
      <c r="C92" s="175" t="s">
        <v>142</v>
      </c>
      <c r="D92" s="175"/>
      <c r="E92" s="140">
        <f>E88*(1-Założenia!$E$29)</f>
        <v>0.57279022497947629</v>
      </c>
      <c r="F92" s="140">
        <f>F88*(1-Założenia!$E$29)</f>
        <v>0.5778755567293834</v>
      </c>
      <c r="G92" s="140">
        <f>G88*(1-Założenia!$E$29)</f>
        <v>0.59189102940619243</v>
      </c>
      <c r="H92" s="140">
        <f>H88*(1-Założenia!$E$29)</f>
        <v>0.60823266036738199</v>
      </c>
      <c r="I92" s="140">
        <f>I88*(1-Założenia!$E$29)</f>
        <v>0.62414080609557443</v>
      </c>
      <c r="J92" s="140">
        <f>J88*(1-Założenia!$E$29)</f>
        <v>0.64055886794590766</v>
      </c>
      <c r="K92" s="140">
        <f>K88*(1-Założenia!$E$29)</f>
        <v>0.65699050607111342</v>
      </c>
      <c r="L92" s="140">
        <f>L88*(1-Założenia!$E$29)</f>
        <v>0.67393942094630299</v>
      </c>
      <c r="M92" s="140">
        <f>M88*(1-Założenia!$E$29)</f>
        <v>0.69087984401240343</v>
      </c>
      <c r="N92" s="140">
        <f>N88*(1-Założenia!$E$29)</f>
        <v>0.70835564720874045</v>
      </c>
      <c r="O92" s="140">
        <f>O88*(1-Założenia!$E$29)</f>
        <v>0.72581026896482403</v>
      </c>
      <c r="P92" s="140">
        <f>P88*(1-Założenia!$E$29)</f>
        <v>0.74379517976707787</v>
      </c>
      <c r="Q92" s="140">
        <f>Q88*(1-Założenia!$E$29)</f>
        <v>0.76172169113653132</v>
      </c>
      <c r="R92" s="140">
        <f>R88*(1-Założenia!$E$29)</f>
        <v>0.77955190092206539</v>
      </c>
      <c r="S92" s="140">
        <f>S88*(1-Założenia!$E$29)</f>
        <v>0.7972580310148909</v>
      </c>
      <c r="T92" s="140">
        <f>T88*(1-Założenia!$E$29)</f>
        <v>0.81480205541593664</v>
      </c>
      <c r="U92" s="11"/>
    </row>
    <row r="93" spans="1:21" s="23" customFormat="1">
      <c r="A93" s="82"/>
      <c r="B93" s="96" t="s">
        <v>76</v>
      </c>
      <c r="C93" s="175" t="s">
        <v>134</v>
      </c>
      <c r="D93" s="175"/>
      <c r="E93" s="91">
        <f>Założenia!D229*Założenia!D253+Założenia!D241*Założenia!D257</f>
        <v>857960.60588235292</v>
      </c>
      <c r="F93" s="91">
        <f>Założenia!E229*Założenia!E253+Założenia!E241*Założenia!E257</f>
        <v>848788.94338235294</v>
      </c>
      <c r="G93" s="91">
        <f>Założenia!F229*Założenia!F253+Założenia!F241*Założenia!F257</f>
        <v>848788.94338235294</v>
      </c>
      <c r="H93" s="91">
        <f>Założenia!G229*Założenia!G253+Założenia!G241*Założenia!G257</f>
        <v>848557.72500000009</v>
      </c>
      <c r="I93" s="91">
        <f>Założenia!H229*Założenia!H253+Założenia!H241*Założenia!H257</f>
        <v>848557.72500000009</v>
      </c>
      <c r="J93" s="91">
        <f>Założenia!I229*Założenia!I253+Założenia!I241*Założenia!I257</f>
        <v>848557.72500000009</v>
      </c>
      <c r="K93" s="91">
        <f>Założenia!J229*Założenia!J253+Założenia!J241*Założenia!J257</f>
        <v>846409.6894736843</v>
      </c>
      <c r="L93" s="91">
        <f>Założenia!K229*Założenia!K253+Założenia!K241*Założenia!K257</f>
        <v>945987.3</v>
      </c>
      <c r="M93" s="91">
        <f>Założenia!L229*Założenia!L253+Założenia!L241*Założenia!L257</f>
        <v>945987.3</v>
      </c>
      <c r="N93" s="91">
        <f>Założenia!M229*Założenia!M253+Założenia!M241*Założenia!M257</f>
        <v>945987.3</v>
      </c>
      <c r="O93" s="91">
        <f>Założenia!N229*Założenia!N253+Założenia!N241*Założenia!N257</f>
        <v>945987.3</v>
      </c>
      <c r="P93" s="91">
        <f>Założenia!O229*Założenia!O253+Założenia!O241*Założenia!O257</f>
        <v>945987.3</v>
      </c>
      <c r="Q93" s="91">
        <f>Założenia!P229*Założenia!P253+Założenia!P241*Założenia!P257</f>
        <v>945987.3</v>
      </c>
      <c r="R93" s="91">
        <f>Założenia!Q229*Założenia!Q253+Założenia!Q241*Założenia!Q257</f>
        <v>945987.3</v>
      </c>
      <c r="S93" s="91">
        <f>Założenia!R229*Założenia!R253+Założenia!R241*Założenia!R257</f>
        <v>945987.3</v>
      </c>
      <c r="T93" s="91">
        <f>Założenia!S229*Założenia!S253+Założenia!S241*Założenia!S257</f>
        <v>945987.3</v>
      </c>
      <c r="U93" s="11"/>
    </row>
    <row r="94" spans="1:21" s="23" customFormat="1">
      <c r="A94" s="82"/>
      <c r="B94" s="96" t="s">
        <v>156</v>
      </c>
      <c r="C94" s="175" t="s">
        <v>0</v>
      </c>
      <c r="D94" s="175"/>
      <c r="E94" s="91">
        <f>E92*E93</f>
        <v>491431.44846688071</v>
      </c>
      <c r="F94" s="91">
        <f t="shared" ref="F94:T94" si="21">F92*F93</f>
        <v>490494.3832028223</v>
      </c>
      <c r="G94" s="91">
        <f t="shared" si="21"/>
        <v>502390.56144717528</v>
      </c>
      <c r="H94" s="91">
        <f t="shared" si="21"/>
        <v>516120.52255204337</v>
      </c>
      <c r="I94" s="91">
        <f t="shared" si="21"/>
        <v>529619.50250012684</v>
      </c>
      <c r="J94" s="91">
        <f t="shared" si="21"/>
        <v>543551.17571275483</v>
      </c>
      <c r="K94" s="91">
        <f t="shared" si="21"/>
        <v>556083.13023080979</v>
      </c>
      <c r="L94" s="91">
        <f t="shared" si="21"/>
        <v>637538.13318455662</v>
      </c>
      <c r="M94" s="91">
        <f t="shared" si="21"/>
        <v>653563.55826171476</v>
      </c>
      <c r="N94" s="91">
        <f t="shared" si="21"/>
        <v>670095.44614274893</v>
      </c>
      <c r="O94" s="91">
        <f t="shared" si="21"/>
        <v>686607.29665030772</v>
      </c>
      <c r="P94" s="91">
        <f t="shared" si="21"/>
        <v>703620.79386087263</v>
      </c>
      <c r="Q94" s="91">
        <f t="shared" si="21"/>
        <v>720579.0459496812</v>
      </c>
      <c r="R94" s="91">
        <f t="shared" si="21"/>
        <v>737446.19796313217</v>
      </c>
      <c r="S94" s="91">
        <f t="shared" si="21"/>
        <v>754195.97216309293</v>
      </c>
      <c r="T94" s="91">
        <f t="shared" si="21"/>
        <v>770792.39643737231</v>
      </c>
      <c r="U94" s="11"/>
    </row>
    <row r="95" spans="1:21" s="23" customFormat="1">
      <c r="A95" s="82" t="s">
        <v>57</v>
      </c>
      <c r="B95" s="133" t="s">
        <v>230</v>
      </c>
      <c r="C95" s="175"/>
      <c r="D95" s="175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1"/>
    </row>
    <row r="96" spans="1:21" s="23" customFormat="1">
      <c r="A96" s="82"/>
      <c r="B96" s="96" t="s">
        <v>155</v>
      </c>
      <c r="C96" s="175" t="s">
        <v>142</v>
      </c>
      <c r="D96" s="175"/>
      <c r="E96" s="140">
        <f>E88*(1-Założenia!$E$28)</f>
        <v>0.12058741578515288</v>
      </c>
      <c r="F96" s="140">
        <f>F88*(1-Założenia!$E$28)</f>
        <v>0.12165801194302807</v>
      </c>
      <c r="G96" s="140">
        <f>G88*(1-Założenia!$E$28)</f>
        <v>0.12460863776972469</v>
      </c>
      <c r="H96" s="140">
        <f>H88*(1-Założenia!$E$28)</f>
        <v>0.12804898112997512</v>
      </c>
      <c r="I96" s="140">
        <f>I88*(1-Założenia!$E$28)</f>
        <v>0.13139806444117355</v>
      </c>
      <c r="J96" s="140">
        <f>J88*(1-Założenia!$E$28)</f>
        <v>0.13485449851492792</v>
      </c>
      <c r="K96" s="140">
        <f>K88*(1-Założenia!$E$28)</f>
        <v>0.13831379075181333</v>
      </c>
      <c r="L96" s="140">
        <f>L88*(1-Założenia!$E$28)</f>
        <v>0.14188198335711638</v>
      </c>
      <c r="M96" s="140">
        <f>M88*(1-Założenia!$E$28)</f>
        <v>0.14544838821313755</v>
      </c>
      <c r="N96" s="140">
        <f>N88*(1-Założenia!$E$28)</f>
        <v>0.14912750467552427</v>
      </c>
      <c r="O96" s="140">
        <f>O88*(1-Założenia!$E$28)</f>
        <v>0.15280216188733134</v>
      </c>
      <c r="P96" s="140">
        <f>P88*(1-Założenia!$E$28)</f>
        <v>0.15658845889833217</v>
      </c>
      <c r="Q96" s="140">
        <f>Q88*(1-Założenia!$E$28)</f>
        <v>0.16036246129190132</v>
      </c>
      <c r="R96" s="140">
        <f>R88*(1-Założenia!$E$28)</f>
        <v>0.16411618966780323</v>
      </c>
      <c r="S96" s="140">
        <f>S88*(1-Założenia!$E$28)</f>
        <v>0.1678437960031349</v>
      </c>
      <c r="T96" s="140">
        <f>T88*(1-Założenia!$E$28)</f>
        <v>0.1715372748244077</v>
      </c>
      <c r="U96" s="11"/>
    </row>
    <row r="97" spans="1:21" s="23" customFormat="1">
      <c r="A97" s="82"/>
      <c r="B97" s="96" t="s">
        <v>76</v>
      </c>
      <c r="C97" s="175" t="s">
        <v>134</v>
      </c>
      <c r="D97" s="175"/>
      <c r="E97" s="91">
        <f>Założenia!D233*Założenia!D255+Założenia!D243*Założenia!D258</f>
        <v>77471</v>
      </c>
      <c r="F97" s="91">
        <f>Założenia!E233*Założenia!E255+Założenia!E243*Założenia!E258</f>
        <v>77471</v>
      </c>
      <c r="G97" s="91">
        <f>Założenia!F233*Założenia!F255+Założenia!F243*Założenia!F258</f>
        <v>77471</v>
      </c>
      <c r="H97" s="91">
        <f>Założenia!G233*Założenia!G255+Założenia!G243*Założenia!G258</f>
        <v>77471</v>
      </c>
      <c r="I97" s="91">
        <f>Założenia!H233*Założenia!H255+Założenia!H243*Założenia!H258</f>
        <v>77471</v>
      </c>
      <c r="J97" s="91">
        <f>Założenia!I233*Założenia!I255+Założenia!I243*Założenia!I258</f>
        <v>77471</v>
      </c>
      <c r="K97" s="91">
        <f>Założenia!J233*Założenia!J255+Założenia!J243*Założenia!J258</f>
        <v>77471</v>
      </c>
      <c r="L97" s="91">
        <f>Założenia!K233*Założenia!K255+Założenia!K243*Założenia!K258</f>
        <v>77471</v>
      </c>
      <c r="M97" s="91">
        <f>Założenia!L233*Założenia!L255+Założenia!L243*Założenia!L258</f>
        <v>77471</v>
      </c>
      <c r="N97" s="91">
        <f>Założenia!M233*Założenia!M255+Założenia!M243*Założenia!M258</f>
        <v>77471</v>
      </c>
      <c r="O97" s="91">
        <f>Założenia!N233*Założenia!N255+Założenia!N243*Założenia!N258</f>
        <v>77471</v>
      </c>
      <c r="P97" s="91">
        <f>Założenia!O233*Założenia!O255+Założenia!O243*Założenia!O258</f>
        <v>77471</v>
      </c>
      <c r="Q97" s="91">
        <f>Założenia!P233*Założenia!P255+Założenia!P243*Założenia!P258</f>
        <v>77471</v>
      </c>
      <c r="R97" s="91">
        <f>Założenia!Q233*Założenia!Q255+Założenia!Q243*Założenia!Q258</f>
        <v>77471</v>
      </c>
      <c r="S97" s="91">
        <f>Założenia!R233*Założenia!R255+Założenia!R243*Założenia!R258</f>
        <v>77471</v>
      </c>
      <c r="T97" s="91">
        <f>Założenia!S233*Założenia!S255+Założenia!S243*Założenia!S258</f>
        <v>77471</v>
      </c>
      <c r="U97" s="11"/>
    </row>
    <row r="98" spans="1:21" s="23" customFormat="1">
      <c r="A98" s="82"/>
      <c r="B98" s="96" t="s">
        <v>156</v>
      </c>
      <c r="C98" s="175" t="s">
        <v>0</v>
      </c>
      <c r="D98" s="175"/>
      <c r="E98" s="91">
        <f>E96*E97</f>
        <v>9342.0276882915787</v>
      </c>
      <c r="F98" s="91">
        <f t="shared" ref="F98:T98" si="22">F96*F97</f>
        <v>9424.967843238328</v>
      </c>
      <c r="G98" s="91">
        <f t="shared" si="22"/>
        <v>9653.5557766583424</v>
      </c>
      <c r="H98" s="91">
        <f t="shared" si="22"/>
        <v>9920.0826171203025</v>
      </c>
      <c r="I98" s="91">
        <f t="shared" si="22"/>
        <v>10179.539450322156</v>
      </c>
      <c r="J98" s="91">
        <f t="shared" si="22"/>
        <v>10447.312854449981</v>
      </c>
      <c r="K98" s="91">
        <f t="shared" si="22"/>
        <v>10715.307683333731</v>
      </c>
      <c r="L98" s="91">
        <f t="shared" si="22"/>
        <v>10991.739132659162</v>
      </c>
      <c r="M98" s="91">
        <f t="shared" si="22"/>
        <v>11268.032083259979</v>
      </c>
      <c r="N98" s="91">
        <f t="shared" si="22"/>
        <v>11553.056914717541</v>
      </c>
      <c r="O98" s="91">
        <f t="shared" si="22"/>
        <v>11837.736283573446</v>
      </c>
      <c r="P98" s="91">
        <f t="shared" si="22"/>
        <v>12131.064499312692</v>
      </c>
      <c r="Q98" s="91">
        <f t="shared" si="22"/>
        <v>12423.440238744886</v>
      </c>
      <c r="R98" s="91">
        <f t="shared" si="22"/>
        <v>12714.245329754383</v>
      </c>
      <c r="S98" s="91">
        <f t="shared" si="22"/>
        <v>13003.026720158863</v>
      </c>
      <c r="T98" s="91">
        <f t="shared" si="22"/>
        <v>13289.164217921689</v>
      </c>
      <c r="U98" s="11"/>
    </row>
    <row r="99" spans="1:21">
      <c r="A99" s="82"/>
      <c r="B99" s="98"/>
      <c r="C99" s="71"/>
      <c r="D99" s="71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1"/>
    </row>
    <row r="100" spans="1:21" s="1" customFormat="1" ht="12">
      <c r="A100" s="227" t="s">
        <v>26</v>
      </c>
      <c r="B100" s="81" t="s">
        <v>228</v>
      </c>
    </row>
    <row r="101" spans="1:21">
      <c r="A101" s="82" t="s">
        <v>33</v>
      </c>
      <c r="B101" s="96" t="s">
        <v>80</v>
      </c>
      <c r="C101" s="175" t="s">
        <v>0</v>
      </c>
      <c r="D101" s="252">
        <f t="shared" ref="D101:D106" si="23">SUM(E101:T101)</f>
        <v>7500000</v>
      </c>
      <c r="E101" s="33">
        <f>E102+E103</f>
        <v>0</v>
      </c>
      <c r="F101" s="33">
        <f t="shared" ref="F101:T101" si="24">F102+F103</f>
        <v>0</v>
      </c>
      <c r="G101" s="33">
        <f t="shared" si="24"/>
        <v>0</v>
      </c>
      <c r="H101" s="33">
        <f t="shared" si="24"/>
        <v>0</v>
      </c>
      <c r="I101" s="33">
        <f t="shared" si="24"/>
        <v>0</v>
      </c>
      <c r="J101" s="33">
        <f t="shared" si="24"/>
        <v>0</v>
      </c>
      <c r="K101" s="33">
        <f t="shared" si="24"/>
        <v>0</v>
      </c>
      <c r="L101" s="33">
        <f t="shared" si="24"/>
        <v>600000</v>
      </c>
      <c r="M101" s="33">
        <f t="shared" si="24"/>
        <v>0</v>
      </c>
      <c r="N101" s="33">
        <f t="shared" si="24"/>
        <v>4200000</v>
      </c>
      <c r="O101" s="33">
        <f t="shared" si="24"/>
        <v>0</v>
      </c>
      <c r="P101" s="33">
        <f t="shared" si="24"/>
        <v>0</v>
      </c>
      <c r="Q101" s="33">
        <f t="shared" si="24"/>
        <v>2100000</v>
      </c>
      <c r="R101" s="33">
        <f t="shared" si="24"/>
        <v>0</v>
      </c>
      <c r="S101" s="33">
        <f t="shared" si="24"/>
        <v>0</v>
      </c>
      <c r="T101" s="33">
        <f t="shared" si="24"/>
        <v>600000</v>
      </c>
      <c r="U101" s="1"/>
    </row>
    <row r="102" spans="1:21" s="36" customFormat="1" ht="12">
      <c r="A102" s="82"/>
      <c r="B102" s="96" t="s">
        <v>219</v>
      </c>
      <c r="C102" s="175" t="s">
        <v>0</v>
      </c>
      <c r="D102" s="252">
        <f>SUM(E102:T102)</f>
        <v>7500000</v>
      </c>
      <c r="E102" s="26">
        <f>Opcje!E16</f>
        <v>0</v>
      </c>
      <c r="F102" s="26">
        <f>Opcje!F16</f>
        <v>0</v>
      </c>
      <c r="G102" s="26">
        <f>Opcje!G16</f>
        <v>0</v>
      </c>
      <c r="H102" s="26">
        <f>Opcje!H16</f>
        <v>0</v>
      </c>
      <c r="I102" s="26">
        <f>Opcje!I16</f>
        <v>0</v>
      </c>
      <c r="J102" s="26">
        <f>Opcje!J16</f>
        <v>0</v>
      </c>
      <c r="K102" s="26">
        <f>Opcje!K16</f>
        <v>0</v>
      </c>
      <c r="L102" s="26">
        <f>Opcje!L16</f>
        <v>600000</v>
      </c>
      <c r="M102" s="26">
        <f>Opcje!M16</f>
        <v>0</v>
      </c>
      <c r="N102" s="26">
        <f>Opcje!N16</f>
        <v>4200000</v>
      </c>
      <c r="O102" s="26">
        <f>Opcje!O16</f>
        <v>0</v>
      </c>
      <c r="P102" s="26">
        <f>Opcje!P16</f>
        <v>0</v>
      </c>
      <c r="Q102" s="26">
        <f>Opcje!Q16</f>
        <v>2100000</v>
      </c>
      <c r="R102" s="26">
        <f>Opcje!R16</f>
        <v>0</v>
      </c>
      <c r="S102" s="26">
        <f>Opcje!S16</f>
        <v>0</v>
      </c>
      <c r="T102" s="26">
        <f>Opcje!T16</f>
        <v>600000</v>
      </c>
      <c r="U102" s="1"/>
    </row>
    <row r="103" spans="1:21" s="24" customFormat="1" ht="12">
      <c r="A103" s="82"/>
      <c r="B103" s="96" t="s">
        <v>220</v>
      </c>
      <c r="C103" s="175" t="s">
        <v>0</v>
      </c>
      <c r="D103" s="252">
        <f>SUM(E103:T103)</f>
        <v>0</v>
      </c>
      <c r="E103" s="26">
        <f>Opcje!E17</f>
        <v>0</v>
      </c>
      <c r="F103" s="26">
        <f>Opcje!F17</f>
        <v>0</v>
      </c>
      <c r="G103" s="26">
        <f>Opcje!G17</f>
        <v>0</v>
      </c>
      <c r="H103" s="26">
        <f>Opcje!H17</f>
        <v>0</v>
      </c>
      <c r="I103" s="26">
        <f>Opcje!I17</f>
        <v>0</v>
      </c>
      <c r="J103" s="26">
        <f>Opcje!J17</f>
        <v>0</v>
      </c>
      <c r="K103" s="26">
        <f>Opcje!K17</f>
        <v>0</v>
      </c>
      <c r="L103" s="26">
        <f>Opcje!L17</f>
        <v>0</v>
      </c>
      <c r="M103" s="26">
        <f>Opcje!M17</f>
        <v>0</v>
      </c>
      <c r="N103" s="26">
        <f>Opcje!N17</f>
        <v>0</v>
      </c>
      <c r="O103" s="26">
        <f>Opcje!O17</f>
        <v>0</v>
      </c>
      <c r="P103" s="26">
        <f>Opcje!P17</f>
        <v>0</v>
      </c>
      <c r="Q103" s="26">
        <f>Opcje!Q17</f>
        <v>0</v>
      </c>
      <c r="R103" s="26">
        <f>Opcje!R17</f>
        <v>0</v>
      </c>
      <c r="S103" s="26">
        <f>Opcje!S17</f>
        <v>0</v>
      </c>
      <c r="T103" s="26">
        <f>Opcje!T17</f>
        <v>0</v>
      </c>
      <c r="U103" s="1"/>
    </row>
    <row r="104" spans="1:21" s="36" customFormat="1" ht="12">
      <c r="A104" s="82" t="s">
        <v>34</v>
      </c>
      <c r="B104" s="96" t="s">
        <v>221</v>
      </c>
      <c r="C104" s="175" t="s">
        <v>0</v>
      </c>
      <c r="D104" s="252">
        <f t="shared" si="23"/>
        <v>300000</v>
      </c>
      <c r="E104" s="33">
        <f>SUM(E105:E107)</f>
        <v>0</v>
      </c>
      <c r="F104" s="33">
        <f t="shared" ref="F104:T104" si="25">SUM(F105:F107)</f>
        <v>0</v>
      </c>
      <c r="G104" s="33">
        <f t="shared" si="25"/>
        <v>0</v>
      </c>
      <c r="H104" s="33">
        <f t="shared" si="25"/>
        <v>0</v>
      </c>
      <c r="I104" s="33">
        <f t="shared" si="25"/>
        <v>0</v>
      </c>
      <c r="J104" s="33">
        <f t="shared" si="25"/>
        <v>150000</v>
      </c>
      <c r="K104" s="33">
        <f t="shared" si="25"/>
        <v>0</v>
      </c>
      <c r="L104" s="33">
        <f t="shared" si="25"/>
        <v>0</v>
      </c>
      <c r="M104" s="33">
        <f t="shared" si="25"/>
        <v>0</v>
      </c>
      <c r="N104" s="33">
        <f t="shared" si="25"/>
        <v>0</v>
      </c>
      <c r="O104" s="33">
        <f t="shared" si="25"/>
        <v>0</v>
      </c>
      <c r="P104" s="33">
        <f t="shared" si="25"/>
        <v>0</v>
      </c>
      <c r="Q104" s="33">
        <f t="shared" si="25"/>
        <v>150000</v>
      </c>
      <c r="R104" s="33">
        <f t="shared" si="25"/>
        <v>0</v>
      </c>
      <c r="S104" s="33">
        <f t="shared" si="25"/>
        <v>0</v>
      </c>
      <c r="T104" s="33">
        <f t="shared" si="25"/>
        <v>0</v>
      </c>
      <c r="U104" s="1"/>
    </row>
    <row r="105" spans="1:21">
      <c r="A105" s="82"/>
      <c r="B105" s="96" t="s">
        <v>219</v>
      </c>
      <c r="C105" s="175" t="s">
        <v>0</v>
      </c>
      <c r="D105" s="252">
        <f>SUM(E105:T105)</f>
        <v>0</v>
      </c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1"/>
    </row>
    <row r="106" spans="1:21" s="36" customFormat="1" ht="12">
      <c r="A106" s="82"/>
      <c r="B106" s="96" t="s">
        <v>220</v>
      </c>
      <c r="C106" s="175" t="s">
        <v>0</v>
      </c>
      <c r="D106" s="252">
        <f t="shared" si="23"/>
        <v>0</v>
      </c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1"/>
    </row>
    <row r="107" spans="1:21">
      <c r="A107" s="1"/>
      <c r="B107" s="96" t="s">
        <v>334</v>
      </c>
      <c r="C107" s="175" t="s">
        <v>0</v>
      </c>
      <c r="D107" s="252">
        <f t="shared" ref="D107" si="26">SUM(E107:T107)</f>
        <v>300000</v>
      </c>
      <c r="E107" s="26">
        <f>Opcje!E18</f>
        <v>0</v>
      </c>
      <c r="F107" s="26">
        <f>Opcje!F18</f>
        <v>0</v>
      </c>
      <c r="G107" s="26">
        <f>Opcje!G18</f>
        <v>0</v>
      </c>
      <c r="H107" s="26">
        <f>Opcje!H18</f>
        <v>0</v>
      </c>
      <c r="I107" s="26">
        <f>Opcje!I18</f>
        <v>0</v>
      </c>
      <c r="J107" s="26">
        <f>Opcje!J18</f>
        <v>150000</v>
      </c>
      <c r="K107" s="26">
        <f>Opcje!K18</f>
        <v>0</v>
      </c>
      <c r="L107" s="26">
        <f>Opcje!L18</f>
        <v>0</v>
      </c>
      <c r="M107" s="26">
        <f>Opcje!M18</f>
        <v>0</v>
      </c>
      <c r="N107" s="26">
        <f>Opcje!N18</f>
        <v>0</v>
      </c>
      <c r="O107" s="26">
        <f>Opcje!O18</f>
        <v>0</v>
      </c>
      <c r="P107" s="26">
        <f>Opcje!P18</f>
        <v>0</v>
      </c>
      <c r="Q107" s="26">
        <f>Opcje!Q18</f>
        <v>150000</v>
      </c>
      <c r="R107" s="26">
        <f>Opcje!R18</f>
        <v>0</v>
      </c>
      <c r="S107" s="26">
        <f>Opcje!S18</f>
        <v>0</v>
      </c>
      <c r="T107" s="26">
        <f>Opcje!T18</f>
        <v>0</v>
      </c>
      <c r="U107" s="1"/>
    </row>
    <row r="108" spans="1:21" s="1" customFormat="1" ht="12">
      <c r="A108" s="4"/>
      <c r="B108" s="9"/>
      <c r="C108" s="9"/>
      <c r="D108" s="9"/>
      <c r="E108" s="9"/>
      <c r="F108" s="257"/>
      <c r="G108" s="9"/>
      <c r="H108" s="2"/>
      <c r="I108" s="258"/>
    </row>
    <row r="109" spans="1:21" s="1" customFormat="1" ht="12">
      <c r="A109" s="4"/>
      <c r="B109" s="9"/>
      <c r="C109" s="9"/>
      <c r="D109" s="9"/>
      <c r="E109" s="9"/>
      <c r="F109" s="257"/>
      <c r="G109" s="9"/>
      <c r="H109" s="2"/>
      <c r="I109" s="258"/>
    </row>
    <row r="110" spans="1:21" s="1" customFormat="1" ht="12">
      <c r="A110" s="244"/>
      <c r="B110" s="244"/>
      <c r="C110" s="244"/>
      <c r="D110" s="244"/>
      <c r="E110" s="244"/>
      <c r="F110" s="244"/>
      <c r="G110" s="259"/>
      <c r="H110" s="259"/>
      <c r="I110" s="259"/>
    </row>
    <row r="111" spans="1:21" s="1" customFormat="1" ht="12">
      <c r="A111" s="4"/>
      <c r="B111" s="88"/>
      <c r="C111" s="9"/>
      <c r="D111" s="9"/>
      <c r="E111" s="9"/>
      <c r="F111" s="257"/>
      <c r="G111" s="9"/>
      <c r="H111" s="9"/>
      <c r="I111" s="258"/>
    </row>
    <row r="112" spans="1:21" s="1" customFormat="1" ht="12">
      <c r="A112" s="4"/>
      <c r="B112" s="88"/>
      <c r="C112" s="9"/>
      <c r="D112" s="9"/>
      <c r="E112" s="9"/>
      <c r="F112" s="257"/>
      <c r="G112" s="9"/>
      <c r="H112" s="2"/>
      <c r="I112" s="258"/>
    </row>
    <row r="113" spans="1:22" s="1" customFormat="1" ht="12">
      <c r="A113" s="4"/>
      <c r="B113" s="88"/>
      <c r="C113" s="9"/>
      <c r="D113" s="9"/>
      <c r="E113" s="9"/>
      <c r="F113" s="257"/>
      <c r="G113" s="9"/>
      <c r="H113" s="2"/>
    </row>
    <row r="114" spans="1:22" s="1" customFormat="1" ht="14.25" thickBot="1">
      <c r="A114" s="4"/>
      <c r="B114" s="81" t="s">
        <v>290</v>
      </c>
      <c r="C114" s="228" t="s">
        <v>240</v>
      </c>
      <c r="D114" s="228" t="s">
        <v>0</v>
      </c>
      <c r="E114" s="228" t="s">
        <v>241</v>
      </c>
      <c r="F114" s="228">
        <f t="shared" ref="F114:U114" si="27">E5</f>
        <v>2024</v>
      </c>
      <c r="G114" s="228">
        <f t="shared" si="27"/>
        <v>2025</v>
      </c>
      <c r="H114" s="228">
        <f t="shared" si="27"/>
        <v>2026</v>
      </c>
      <c r="I114" s="228">
        <f t="shared" si="27"/>
        <v>2027</v>
      </c>
      <c r="J114" s="228">
        <f t="shared" si="27"/>
        <v>2028</v>
      </c>
      <c r="K114" s="228">
        <f t="shared" si="27"/>
        <v>2029</v>
      </c>
      <c r="L114" s="228">
        <f t="shared" si="27"/>
        <v>2030</v>
      </c>
      <c r="M114" s="228">
        <f t="shared" si="27"/>
        <v>2031</v>
      </c>
      <c r="N114" s="228">
        <f t="shared" si="27"/>
        <v>2032</v>
      </c>
      <c r="O114" s="228">
        <f t="shared" si="27"/>
        <v>2033</v>
      </c>
      <c r="P114" s="228">
        <f t="shared" si="27"/>
        <v>2034</v>
      </c>
      <c r="Q114" s="228">
        <f t="shared" si="27"/>
        <v>2035</v>
      </c>
      <c r="R114" s="228">
        <f t="shared" si="27"/>
        <v>2036</v>
      </c>
      <c r="S114" s="228">
        <f t="shared" si="27"/>
        <v>2037</v>
      </c>
      <c r="T114" s="228">
        <f t="shared" si="27"/>
        <v>2038</v>
      </c>
      <c r="U114" s="228">
        <f t="shared" si="27"/>
        <v>2039</v>
      </c>
    </row>
    <row r="115" spans="1:22" s="1" customFormat="1">
      <c r="A115" s="4"/>
      <c r="B115" s="260" t="s">
        <v>237</v>
      </c>
      <c r="C115" s="261">
        <f>AVERAGE(F116:U116)</f>
        <v>629.48745273059149</v>
      </c>
      <c r="D115" s="262">
        <f>SUMPRODUCT(F115:U115,F116:U116)/COLUMNS(F115:U115)</f>
        <v>937534.42359365709</v>
      </c>
      <c r="E115" s="263" t="s">
        <v>236</v>
      </c>
      <c r="F115" s="264">
        <f>Założenia!E97</f>
        <v>655.58463225699438</v>
      </c>
      <c r="G115" s="264">
        <f>Założenia!F97</f>
        <v>753.34725285672152</v>
      </c>
      <c r="H115" s="264">
        <f>Założenia!G97</f>
        <v>851.10987345644878</v>
      </c>
      <c r="I115" s="264">
        <f>Założenia!H97</f>
        <v>948.87249405617604</v>
      </c>
      <c r="J115" s="264">
        <f>Założenia!I97</f>
        <v>1046.6351146559032</v>
      </c>
      <c r="K115" s="264">
        <f>Założenia!J97</f>
        <v>1144.3977352556303</v>
      </c>
      <c r="L115" s="264">
        <f>Założenia!K97</f>
        <v>1242.1603558553577</v>
      </c>
      <c r="M115" s="264">
        <f>Założenia!L97</f>
        <v>1339.9229764550848</v>
      </c>
      <c r="N115" s="264">
        <f>Założenia!M97</f>
        <v>1437.685597054812</v>
      </c>
      <c r="O115" s="264">
        <f>Założenia!N97</f>
        <v>1598.7063839249508</v>
      </c>
      <c r="P115" s="264">
        <f>Założenia!O97</f>
        <v>1759.7271707950902</v>
      </c>
      <c r="Q115" s="264">
        <f>Założenia!P97</f>
        <v>1920.747957665229</v>
      </c>
      <c r="R115" s="264">
        <f>Założenia!Q97</f>
        <v>2081.7687445353681</v>
      </c>
      <c r="S115" s="264">
        <f>Założenia!R97</f>
        <v>2242.7895314055068</v>
      </c>
      <c r="T115" s="264">
        <f>Założenia!S97</f>
        <v>2398.0595758874269</v>
      </c>
      <c r="U115" s="265">
        <f>Założenia!T97</f>
        <v>2553.3296203693462</v>
      </c>
      <c r="V115" s="40"/>
    </row>
    <row r="116" spans="1:22" s="1" customFormat="1" ht="13.5" thickBot="1">
      <c r="A116" s="4"/>
      <c r="B116" s="266" t="s">
        <v>238</v>
      </c>
      <c r="C116" s="267">
        <f>SUM(F116:U116)</f>
        <v>10071.799243689464</v>
      </c>
      <c r="D116" s="268">
        <f>SUMPRODUCT(F115:U115,F116:U116)</f>
        <v>15000550.777498513</v>
      </c>
      <c r="E116" s="269" t="s">
        <v>232</v>
      </c>
      <c r="F116" s="270">
        <f t="shared" ref="F116:U116" si="28">E49</f>
        <v>646.90998909411769</v>
      </c>
      <c r="G116" s="270">
        <f t="shared" si="28"/>
        <v>640.46920761505351</v>
      </c>
      <c r="H116" s="270">
        <f t="shared" si="28"/>
        <v>639.89252509098935</v>
      </c>
      <c r="I116" s="270">
        <f t="shared" si="28"/>
        <v>638.71476726016044</v>
      </c>
      <c r="J116" s="270">
        <f t="shared" si="28"/>
        <v>638.13808473609618</v>
      </c>
      <c r="K116" s="270">
        <f t="shared" si="28"/>
        <v>636.69637842593579</v>
      </c>
      <c r="L116" s="270">
        <f t="shared" si="28"/>
        <v>629.67063896156503</v>
      </c>
      <c r="M116" s="270">
        <f t="shared" si="28"/>
        <v>630.89761261350975</v>
      </c>
      <c r="N116" s="270">
        <f t="shared" si="28"/>
        <v>629.45590630334937</v>
      </c>
      <c r="O116" s="270">
        <f t="shared" si="28"/>
        <v>628.01419999318898</v>
      </c>
      <c r="P116" s="270">
        <f t="shared" si="28"/>
        <v>625.41912863490018</v>
      </c>
      <c r="Q116" s="270">
        <f t="shared" si="28"/>
        <v>622.82405727661137</v>
      </c>
      <c r="R116" s="270">
        <f t="shared" si="28"/>
        <v>620.22898591832268</v>
      </c>
      <c r="S116" s="270">
        <f t="shared" si="28"/>
        <v>617.63391456003387</v>
      </c>
      <c r="T116" s="270">
        <f t="shared" si="28"/>
        <v>615.03884320174507</v>
      </c>
      <c r="U116" s="271">
        <f t="shared" si="28"/>
        <v>611.79500400388406</v>
      </c>
      <c r="V116" s="40"/>
    </row>
    <row r="117" spans="1:22" s="1" customFormat="1" thickBot="1">
      <c r="A117" s="4"/>
      <c r="B117" s="81" t="s">
        <v>61</v>
      </c>
      <c r="C117" s="228" t="s">
        <v>240</v>
      </c>
      <c r="D117" s="228" t="s">
        <v>0</v>
      </c>
      <c r="E117" s="228" t="s">
        <v>241</v>
      </c>
      <c r="F117" s="228">
        <f>F114</f>
        <v>2024</v>
      </c>
      <c r="G117" s="228">
        <f t="shared" ref="G117:U117" si="29">G114</f>
        <v>2025</v>
      </c>
      <c r="H117" s="228">
        <f t="shared" si="29"/>
        <v>2026</v>
      </c>
      <c r="I117" s="228">
        <f t="shared" si="29"/>
        <v>2027</v>
      </c>
      <c r="J117" s="228">
        <f t="shared" si="29"/>
        <v>2028</v>
      </c>
      <c r="K117" s="228">
        <f t="shared" si="29"/>
        <v>2029</v>
      </c>
      <c r="L117" s="228">
        <f t="shared" si="29"/>
        <v>2030</v>
      </c>
      <c r="M117" s="228">
        <f t="shared" si="29"/>
        <v>2031</v>
      </c>
      <c r="N117" s="228">
        <f t="shared" si="29"/>
        <v>2032</v>
      </c>
      <c r="O117" s="228">
        <f t="shared" si="29"/>
        <v>2033</v>
      </c>
      <c r="P117" s="228">
        <f t="shared" si="29"/>
        <v>2034</v>
      </c>
      <c r="Q117" s="228">
        <f t="shared" si="29"/>
        <v>2035</v>
      </c>
      <c r="R117" s="228">
        <f t="shared" si="29"/>
        <v>2036</v>
      </c>
      <c r="S117" s="228">
        <f t="shared" si="29"/>
        <v>2037</v>
      </c>
      <c r="T117" s="228">
        <f t="shared" si="29"/>
        <v>2038</v>
      </c>
      <c r="U117" s="228">
        <f t="shared" si="29"/>
        <v>2039</v>
      </c>
    </row>
    <row r="118" spans="1:22" s="1" customFormat="1">
      <c r="A118" s="4"/>
      <c r="B118" s="260" t="s">
        <v>237</v>
      </c>
      <c r="C118" s="261">
        <f>AVERAGE(F119:U119)</f>
        <v>1.0641641435597191</v>
      </c>
      <c r="D118" s="262">
        <f>SUMPRODUCT(F118:U118,F119:U119)/COLUMNS(F118:U118)</f>
        <v>88242.759507365758</v>
      </c>
      <c r="E118" s="263" t="s">
        <v>236</v>
      </c>
      <c r="F118" s="264">
        <f>Założenia!E87</f>
        <v>70375.176140161158</v>
      </c>
      <c r="G118" s="264">
        <f>Założenia!F87</f>
        <v>70999.979256596489</v>
      </c>
      <c r="H118" s="264">
        <f>Założenia!G87</f>
        <v>72721.973304859785</v>
      </c>
      <c r="I118" s="264">
        <f>Założenia!H87</f>
        <v>74729.767968870379</v>
      </c>
      <c r="J118" s="264">
        <f>Założenia!I87</f>
        <v>76684.302995589824</v>
      </c>
      <c r="K118" s="264">
        <f>Założenia!J87</f>
        <v>78701.488248076756</v>
      </c>
      <c r="L118" s="264">
        <f>Założenia!K87</f>
        <v>80720.34153310649</v>
      </c>
      <c r="M118" s="264">
        <f>Założenia!L87</f>
        <v>82802.749398514468</v>
      </c>
      <c r="N118" s="264">
        <f>Założenia!M87</f>
        <v>84884.113928100123</v>
      </c>
      <c r="O118" s="264">
        <f>Założenia!N87</f>
        <v>87031.257287917542</v>
      </c>
      <c r="P118" s="264">
        <f>Założenia!O87</f>
        <v>89175.798215773451</v>
      </c>
      <c r="Q118" s="264">
        <f>Założenia!P87</f>
        <v>91385.492463993301</v>
      </c>
      <c r="R118" s="264">
        <f>Założenia!Q87</f>
        <v>93588.011536746504</v>
      </c>
      <c r="S118" s="264">
        <f>Założenia!R87</f>
        <v>95778.698632214902</v>
      </c>
      <c r="T118" s="264">
        <f>Założenia!S87</f>
        <v>97954.140826759758</v>
      </c>
      <c r="U118" s="265">
        <f>Założenia!T87</f>
        <v>100109.66610213456</v>
      </c>
      <c r="V118" s="40"/>
    </row>
    <row r="119" spans="1:22" s="1" customFormat="1" ht="13.5" thickBot="1">
      <c r="A119" s="4"/>
      <c r="B119" s="266" t="s">
        <v>238</v>
      </c>
      <c r="C119" s="267">
        <f>SUM(F119:U119)</f>
        <v>17.026626296955506</v>
      </c>
      <c r="D119" s="268">
        <f>SUMPRODUCT(F118:U118,F119:U119)</f>
        <v>1411884.1521178521</v>
      </c>
      <c r="E119" s="269" t="s">
        <v>232</v>
      </c>
      <c r="F119" s="270">
        <f t="shared" ref="F119:U119" si="30">E59</f>
        <v>1.2741841621561498</v>
      </c>
      <c r="G119" s="270">
        <f t="shared" si="30"/>
        <v>1.256852794300704</v>
      </c>
      <c r="H119" s="270">
        <f t="shared" si="30"/>
        <v>1.2524665729452582</v>
      </c>
      <c r="I119" s="270">
        <f t="shared" si="30"/>
        <v>1.2479231230898129</v>
      </c>
      <c r="J119" s="270">
        <f t="shared" si="30"/>
        <v>1.2469384258969793</v>
      </c>
      <c r="K119" s="270">
        <f t="shared" si="30"/>
        <v>1.245953728704146</v>
      </c>
      <c r="L119" s="270">
        <f t="shared" si="30"/>
        <v>1.2435083673534182</v>
      </c>
      <c r="M119" s="270">
        <f t="shared" si="30"/>
        <v>0.92785842089742665</v>
      </c>
      <c r="N119" s="270">
        <f t="shared" si="30"/>
        <v>0.9268737237045932</v>
      </c>
      <c r="O119" s="270">
        <f t="shared" si="30"/>
        <v>0.92387298857485356</v>
      </c>
      <c r="P119" s="270">
        <f t="shared" si="30"/>
        <v>0.92087225344511381</v>
      </c>
      <c r="Q119" s="270">
        <f t="shared" si="30"/>
        <v>0.91787151831537417</v>
      </c>
      <c r="R119" s="270">
        <f t="shared" si="30"/>
        <v>0.91487078318563442</v>
      </c>
      <c r="S119" s="270">
        <f t="shared" si="30"/>
        <v>0.91187004805589478</v>
      </c>
      <c r="T119" s="270">
        <f t="shared" si="30"/>
        <v>0.90825776414323744</v>
      </c>
      <c r="U119" s="271">
        <f t="shared" si="30"/>
        <v>0.90645162218690878</v>
      </c>
      <c r="V119" s="40"/>
    </row>
    <row r="120" spans="1:22" s="1" customFormat="1" thickBot="1">
      <c r="A120" s="4"/>
      <c r="B120" s="81" t="s">
        <v>121</v>
      </c>
      <c r="C120" s="228" t="s">
        <v>240</v>
      </c>
      <c r="D120" s="228" t="s">
        <v>0</v>
      </c>
      <c r="E120" s="228" t="s">
        <v>241</v>
      </c>
      <c r="F120" s="228">
        <f>F117</f>
        <v>2024</v>
      </c>
      <c r="G120" s="228">
        <f t="shared" ref="G120:U120" si="31">G117</f>
        <v>2025</v>
      </c>
      <c r="H120" s="228">
        <f t="shared" si="31"/>
        <v>2026</v>
      </c>
      <c r="I120" s="228">
        <f t="shared" si="31"/>
        <v>2027</v>
      </c>
      <c r="J120" s="228">
        <f t="shared" si="31"/>
        <v>2028</v>
      </c>
      <c r="K120" s="228">
        <f t="shared" si="31"/>
        <v>2029</v>
      </c>
      <c r="L120" s="228">
        <f t="shared" si="31"/>
        <v>2030</v>
      </c>
      <c r="M120" s="228">
        <f t="shared" si="31"/>
        <v>2031</v>
      </c>
      <c r="N120" s="228">
        <f t="shared" si="31"/>
        <v>2032</v>
      </c>
      <c r="O120" s="228">
        <f t="shared" si="31"/>
        <v>2033</v>
      </c>
      <c r="P120" s="228">
        <f t="shared" si="31"/>
        <v>2034</v>
      </c>
      <c r="Q120" s="228">
        <f t="shared" si="31"/>
        <v>2035</v>
      </c>
      <c r="R120" s="228">
        <f t="shared" si="31"/>
        <v>2036</v>
      </c>
      <c r="S120" s="228">
        <f t="shared" si="31"/>
        <v>2037</v>
      </c>
      <c r="T120" s="228">
        <f t="shared" si="31"/>
        <v>2038</v>
      </c>
      <c r="U120" s="228">
        <f t="shared" si="31"/>
        <v>2039</v>
      </c>
    </row>
    <row r="121" spans="1:22" s="1" customFormat="1">
      <c r="A121" s="4"/>
      <c r="B121" s="260" t="s">
        <v>237</v>
      </c>
      <c r="C121" s="261">
        <f>AVERAGE(F122:U122)</f>
        <v>0.31079262453264006</v>
      </c>
      <c r="D121" s="262">
        <f>SUMPRODUCT(F121:U121,F122:U122)/COLUMNS(F121:U121)</f>
        <v>1233.716778895493</v>
      </c>
      <c r="E121" s="263" t="s">
        <v>236</v>
      </c>
      <c r="F121" s="264">
        <f>Założenia!E88</f>
        <v>3351.1988638171983</v>
      </c>
      <c r="G121" s="264">
        <f>Założenia!F88</f>
        <v>3380.9513931712618</v>
      </c>
      <c r="H121" s="264">
        <f>Założenia!G88</f>
        <v>3462.9511097552281</v>
      </c>
      <c r="I121" s="264">
        <f>Założenia!H88</f>
        <v>3558.5603794700182</v>
      </c>
      <c r="J121" s="264">
        <f>Założenia!I88</f>
        <v>3651.6334759804681</v>
      </c>
      <c r="K121" s="264">
        <f>Założenia!J88</f>
        <v>3747.6899165750838</v>
      </c>
      <c r="L121" s="264">
        <f>Założenia!K88</f>
        <v>3843.8257872907852</v>
      </c>
      <c r="M121" s="264">
        <f>Założenia!L88</f>
        <v>3942.9880665959267</v>
      </c>
      <c r="N121" s="264">
        <f>Założenia!M88</f>
        <v>4042.100663242863</v>
      </c>
      <c r="O121" s="264">
        <f>Założenia!N88</f>
        <v>4144.3455851389308</v>
      </c>
      <c r="P121" s="264">
        <f>Założenia!O88</f>
        <v>4246.4665817034975</v>
      </c>
      <c r="Q121" s="264">
        <f>Założenia!P88</f>
        <v>4351.6901173330143</v>
      </c>
      <c r="R121" s="264">
        <f>Założenia!Q88</f>
        <v>4456.5719779403098</v>
      </c>
      <c r="S121" s="264">
        <f>Założenia!R88</f>
        <v>4560.8904110578533</v>
      </c>
      <c r="T121" s="264">
        <f>Założenia!S88</f>
        <v>4664.4828965123706</v>
      </c>
      <c r="U121" s="265">
        <f>Założenia!T88</f>
        <v>4767.1269572445044</v>
      </c>
      <c r="V121" s="40"/>
    </row>
    <row r="122" spans="1:22" s="1" customFormat="1" ht="13.5" thickBot="1">
      <c r="A122" s="4"/>
      <c r="B122" s="266" t="s">
        <v>238</v>
      </c>
      <c r="C122" s="267">
        <f>SUM(F122:U122)</f>
        <v>4.972681992522241</v>
      </c>
      <c r="D122" s="268">
        <f>SUMPRODUCT(F121:U121,F122:U122)</f>
        <v>19739.468462327888</v>
      </c>
      <c r="E122" s="269" t="s">
        <v>232</v>
      </c>
      <c r="F122" s="270">
        <f t="shared" ref="F122:U122" si="32">E77</f>
        <v>0.35148493172545453</v>
      </c>
      <c r="G122" s="270">
        <f t="shared" si="32"/>
        <v>0.34777179461504837</v>
      </c>
      <c r="H122" s="270">
        <f t="shared" si="32"/>
        <v>0.34776793986714216</v>
      </c>
      <c r="I122" s="270">
        <f t="shared" si="32"/>
        <v>0.34762512287144182</v>
      </c>
      <c r="J122" s="270">
        <f t="shared" si="32"/>
        <v>0.34761972622437309</v>
      </c>
      <c r="K122" s="270">
        <f t="shared" si="32"/>
        <v>0.34761432957730443</v>
      </c>
      <c r="L122" s="270">
        <f t="shared" si="32"/>
        <v>0.34631796357891997</v>
      </c>
      <c r="M122" s="270">
        <f t="shared" si="32"/>
        <v>0.28188585292132495</v>
      </c>
      <c r="N122" s="270">
        <f t="shared" si="32"/>
        <v>0.28188045627425623</v>
      </c>
      <c r="O122" s="270">
        <f t="shared" si="32"/>
        <v>0.28186445907044544</v>
      </c>
      <c r="P122" s="270">
        <f t="shared" si="32"/>
        <v>0.2818484618666347</v>
      </c>
      <c r="Q122" s="270">
        <f t="shared" si="32"/>
        <v>0.28183246466282391</v>
      </c>
      <c r="R122" s="270">
        <f t="shared" si="32"/>
        <v>0.28181646745901312</v>
      </c>
      <c r="S122" s="270">
        <f t="shared" si="32"/>
        <v>0.28180047025520233</v>
      </c>
      <c r="T122" s="270">
        <f t="shared" si="32"/>
        <v>0.28178071467218302</v>
      </c>
      <c r="U122" s="271">
        <f t="shared" si="32"/>
        <v>0.28177083688067334</v>
      </c>
      <c r="V122" s="40"/>
    </row>
    <row r="123" spans="1:22" s="1" customFormat="1" thickBot="1">
      <c r="A123" s="4"/>
      <c r="B123" s="81" t="s">
        <v>62</v>
      </c>
      <c r="C123" s="228" t="s">
        <v>240</v>
      </c>
      <c r="D123" s="228" t="s">
        <v>0</v>
      </c>
      <c r="E123" s="228" t="s">
        <v>241</v>
      </c>
      <c r="F123" s="228">
        <f>F120</f>
        <v>2024</v>
      </c>
      <c r="G123" s="228">
        <f t="shared" ref="G123:U123" si="33">G120</f>
        <v>2025</v>
      </c>
      <c r="H123" s="228">
        <f t="shared" si="33"/>
        <v>2026</v>
      </c>
      <c r="I123" s="228">
        <f t="shared" si="33"/>
        <v>2027</v>
      </c>
      <c r="J123" s="228">
        <f t="shared" si="33"/>
        <v>2028</v>
      </c>
      <c r="K123" s="228">
        <f t="shared" si="33"/>
        <v>2029</v>
      </c>
      <c r="L123" s="228">
        <f t="shared" si="33"/>
        <v>2030</v>
      </c>
      <c r="M123" s="228">
        <f t="shared" si="33"/>
        <v>2031</v>
      </c>
      <c r="N123" s="228">
        <f t="shared" si="33"/>
        <v>2032</v>
      </c>
      <c r="O123" s="228">
        <f t="shared" si="33"/>
        <v>2033</v>
      </c>
      <c r="P123" s="228">
        <f t="shared" si="33"/>
        <v>2034</v>
      </c>
      <c r="Q123" s="228">
        <f t="shared" si="33"/>
        <v>2035</v>
      </c>
      <c r="R123" s="228">
        <f t="shared" si="33"/>
        <v>2036</v>
      </c>
      <c r="S123" s="228">
        <f t="shared" si="33"/>
        <v>2037</v>
      </c>
      <c r="T123" s="228">
        <f t="shared" si="33"/>
        <v>2038</v>
      </c>
      <c r="U123" s="228">
        <f t="shared" si="33"/>
        <v>2039</v>
      </c>
    </row>
    <row r="124" spans="1:22" s="1" customFormat="1">
      <c r="A124" s="4"/>
      <c r="B124" s="260" t="s">
        <v>237</v>
      </c>
      <c r="C124" s="261">
        <f>AVERAGE(F125:U125)</f>
        <v>2.4177289843111283E-2</v>
      </c>
      <c r="D124" s="262">
        <f>SUMPRODUCT(F124:U124,F125:U125)/COLUMNS(F124:U124)</f>
        <v>12536.410404799592</v>
      </c>
      <c r="E124" s="263" t="s">
        <v>236</v>
      </c>
      <c r="F124" s="264">
        <f>Założenia!E90</f>
        <v>435655.8522962358</v>
      </c>
      <c r="G124" s="264">
        <f>Założenia!F90</f>
        <v>439523.68111226405</v>
      </c>
      <c r="H124" s="264">
        <f>Założenia!G90</f>
        <v>450183.64426817966</v>
      </c>
      <c r="I124" s="264">
        <f>Założenia!H90</f>
        <v>462612.84933110233</v>
      </c>
      <c r="J124" s="264">
        <f>Założenia!I90</f>
        <v>474712.35187746084</v>
      </c>
      <c r="K124" s="264">
        <f>Założenia!J90</f>
        <v>487199.68915476091</v>
      </c>
      <c r="L124" s="264">
        <f>Założenia!K90</f>
        <v>499697.35234780208</v>
      </c>
      <c r="M124" s="264">
        <f>Założenia!L90</f>
        <v>512588.44865747046</v>
      </c>
      <c r="N124" s="264">
        <f>Założenia!M90</f>
        <v>525473.08622157213</v>
      </c>
      <c r="O124" s="264">
        <f>Założenia!N90</f>
        <v>538764.92606806091</v>
      </c>
      <c r="P124" s="264">
        <f>Założenia!O90</f>
        <v>552040.65562145459</v>
      </c>
      <c r="Q124" s="264">
        <f>Założenia!P90</f>
        <v>565719.71525329177</v>
      </c>
      <c r="R124" s="264">
        <f>Założenia!Q90</f>
        <v>579354.3571322402</v>
      </c>
      <c r="S124" s="264">
        <f>Założenia!R90</f>
        <v>592915.75343752082</v>
      </c>
      <c r="T124" s="264">
        <f>Założenia!S90</f>
        <v>606382.77654660807</v>
      </c>
      <c r="U124" s="265">
        <f>Założenia!T90</f>
        <v>619726.50444178551</v>
      </c>
      <c r="V124" s="40"/>
    </row>
    <row r="125" spans="1:22" s="1" customFormat="1" ht="13.5" thickBot="1">
      <c r="A125" s="4"/>
      <c r="B125" s="266" t="s">
        <v>238</v>
      </c>
      <c r="C125" s="267">
        <f>SUM(F125:U125)</f>
        <v>0.38683663748978053</v>
      </c>
      <c r="D125" s="268">
        <f>SUMPRODUCT(F124:U124,F125:U125)</f>
        <v>200582.56647679346</v>
      </c>
      <c r="E125" s="269" t="s">
        <v>232</v>
      </c>
      <c r="F125" s="270">
        <f t="shared" ref="F125:U125" si="34">E68</f>
        <v>2.613223108032086E-2</v>
      </c>
      <c r="G125" s="270">
        <f t="shared" si="34"/>
        <v>2.5767075438371152E-2</v>
      </c>
      <c r="H125" s="270">
        <f t="shared" si="34"/>
        <v>2.5646934208921453E-2</v>
      </c>
      <c r="I125" s="270">
        <f t="shared" si="34"/>
        <v>2.5508989164030577E-2</v>
      </c>
      <c r="J125" s="270">
        <f t="shared" si="34"/>
        <v>2.5482227165614234E-2</v>
      </c>
      <c r="K125" s="270">
        <f t="shared" si="34"/>
        <v>2.5455465167197894E-2</v>
      </c>
      <c r="L125" s="270">
        <f t="shared" si="34"/>
        <v>2.5263304433255241E-2</v>
      </c>
      <c r="M125" s="270">
        <f t="shared" si="34"/>
        <v>2.3344567834838899E-2</v>
      </c>
      <c r="N125" s="270">
        <f t="shared" si="34"/>
        <v>2.331780583642256E-2</v>
      </c>
      <c r="O125" s="270">
        <f t="shared" si="34"/>
        <v>2.32353616154948E-2</v>
      </c>
      <c r="P125" s="270">
        <f t="shared" si="34"/>
        <v>2.3152917394567041E-2</v>
      </c>
      <c r="Q125" s="270">
        <f t="shared" si="34"/>
        <v>2.3070473173639281E-2</v>
      </c>
      <c r="R125" s="270">
        <f t="shared" si="34"/>
        <v>2.2988028952711521E-2</v>
      </c>
      <c r="S125" s="270">
        <f t="shared" si="34"/>
        <v>2.2905584731783765E-2</v>
      </c>
      <c r="T125" s="270">
        <f t="shared" si="34"/>
        <v>2.2807385463401223E-2</v>
      </c>
      <c r="U125" s="271">
        <f t="shared" si="34"/>
        <v>2.2758285829209954E-2</v>
      </c>
      <c r="V125" s="40"/>
    </row>
    <row r="126" spans="1:22" s="1" customFormat="1">
      <c r="A126" s="53"/>
      <c r="B126" s="64"/>
      <c r="C126" s="40"/>
      <c r="D126" s="40"/>
      <c r="E126" s="40"/>
      <c r="F126" s="54"/>
      <c r="G126" s="40"/>
      <c r="H126" s="44"/>
      <c r="I126" s="45"/>
    </row>
    <row r="127" spans="1:22" s="1" customFormat="1">
      <c r="A127" s="53"/>
      <c r="B127" s="64"/>
      <c r="C127" s="40"/>
      <c r="D127" s="40"/>
      <c r="E127" s="40"/>
      <c r="F127" s="54"/>
      <c r="G127" s="40"/>
      <c r="H127" s="44"/>
      <c r="I127" s="45"/>
    </row>
    <row r="128" spans="1:22" s="1" customFormat="1">
      <c r="A128" s="53"/>
      <c r="B128" s="64"/>
      <c r="C128" s="40"/>
      <c r="D128" s="40"/>
      <c r="E128" s="40"/>
      <c r="F128" s="54"/>
      <c r="G128" s="40"/>
      <c r="H128" s="44"/>
      <c r="I128" s="45"/>
    </row>
    <row r="129" spans="1:9" s="1" customFormat="1">
      <c r="A129" s="53"/>
      <c r="B129" s="64"/>
      <c r="C129" s="40"/>
      <c r="D129" s="40"/>
      <c r="E129" s="40"/>
      <c r="F129" s="54"/>
      <c r="G129" s="40"/>
      <c r="H129" s="44"/>
      <c r="I129" s="45"/>
    </row>
    <row r="130" spans="1:9" s="1" customFormat="1">
      <c r="A130" s="53"/>
      <c r="B130" s="64"/>
      <c r="C130" s="40"/>
      <c r="D130" s="40"/>
      <c r="E130" s="40"/>
      <c r="F130" s="54"/>
      <c r="G130" s="40"/>
      <c r="H130" s="44"/>
      <c r="I130" s="45"/>
    </row>
    <row r="131" spans="1:9" s="1" customFormat="1">
      <c r="A131" s="53"/>
      <c r="B131" s="64"/>
      <c r="C131" s="40"/>
      <c r="D131" s="40"/>
      <c r="E131" s="40"/>
      <c r="F131" s="54"/>
      <c r="G131" s="40"/>
      <c r="H131" s="44"/>
      <c r="I131" s="45"/>
    </row>
    <row r="132" spans="1:9" s="1" customFormat="1">
      <c r="A132" s="53"/>
      <c r="B132" s="64"/>
      <c r="C132" s="40"/>
      <c r="D132" s="40"/>
      <c r="E132" s="40"/>
      <c r="F132" s="54"/>
      <c r="G132" s="40"/>
      <c r="H132" s="44"/>
      <c r="I132" s="45"/>
    </row>
    <row r="133" spans="1:9" s="1" customFormat="1">
      <c r="A133" s="53"/>
      <c r="B133" s="64"/>
      <c r="C133" s="40"/>
      <c r="D133" s="40"/>
      <c r="E133" s="40"/>
      <c r="F133" s="54"/>
      <c r="G133" s="40"/>
      <c r="H133" s="44"/>
      <c r="I133" s="45"/>
    </row>
    <row r="134" spans="1:9" s="1" customFormat="1">
      <c r="A134" s="53"/>
      <c r="B134" s="64"/>
      <c r="C134" s="40"/>
      <c r="D134" s="40"/>
      <c r="E134" s="40"/>
      <c r="F134" s="54"/>
      <c r="G134" s="40"/>
      <c r="H134" s="44"/>
      <c r="I134" s="45"/>
    </row>
    <row r="135" spans="1:9" s="1" customFormat="1">
      <c r="A135" s="53"/>
      <c r="B135" s="64"/>
      <c r="C135" s="40"/>
      <c r="D135" s="40"/>
      <c r="E135" s="40"/>
      <c r="F135" s="54"/>
      <c r="G135" s="40"/>
      <c r="H135" s="44"/>
      <c r="I135" s="45"/>
    </row>
    <row r="136" spans="1:9" s="1" customFormat="1">
      <c r="A136" s="69"/>
      <c r="B136" s="46"/>
      <c r="C136" s="46"/>
      <c r="D136" s="46"/>
      <c r="E136" s="46"/>
      <c r="F136" s="46"/>
      <c r="G136" s="46"/>
      <c r="H136" s="46"/>
      <c r="I136" s="46"/>
    </row>
    <row r="137" spans="1:9" s="1" customFormat="1">
      <c r="A137"/>
      <c r="B137" s="40"/>
      <c r="C137" s="40"/>
      <c r="D137" s="40"/>
      <c r="E137" s="40"/>
      <c r="F137"/>
      <c r="G137"/>
      <c r="H137"/>
      <c r="I137"/>
    </row>
    <row r="138" spans="1:9" s="1" customFormat="1">
      <c r="A138"/>
      <c r="B138"/>
      <c r="C138" s="65"/>
      <c r="D138" s="65"/>
      <c r="E138" s="66"/>
      <c r="F138" s="67"/>
      <c r="G138" s="65"/>
      <c r="H138"/>
      <c r="I138" s="68"/>
    </row>
    <row r="139" spans="1:9" s="1" customFormat="1" ht="12"/>
    <row r="140" spans="1:9" s="1" customFormat="1" ht="12"/>
    <row r="141" spans="1:9" s="1" customFormat="1" ht="30.75" customHeight="1">
      <c r="A141" s="506"/>
      <c r="B141" s="563"/>
      <c r="C141" s="563"/>
      <c r="D141" s="147"/>
      <c r="E141" s="43"/>
      <c r="F141" s="43"/>
      <c r="G141" s="43"/>
      <c r="H141" s="43"/>
      <c r="I141" s="43"/>
    </row>
    <row r="142" spans="1:9" s="1" customFormat="1">
      <c r="A142" s="55"/>
      <c r="B142" s="55"/>
      <c r="C142" s="55"/>
      <c r="D142" s="55"/>
      <c r="E142" s="55"/>
      <c r="F142" s="55"/>
      <c r="G142" s="56"/>
      <c r="H142" s="56"/>
      <c r="I142" s="510"/>
    </row>
    <row r="143" spans="1:9" s="1" customFormat="1">
      <c r="A143" s="55"/>
      <c r="B143" s="55"/>
      <c r="C143" s="55"/>
      <c r="D143" s="55"/>
      <c r="E143" s="55"/>
      <c r="F143" s="55"/>
      <c r="G143" s="56"/>
      <c r="H143" s="56"/>
      <c r="I143" s="510"/>
    </row>
    <row r="144" spans="1:9" s="1" customFormat="1">
      <c r="A144"/>
      <c r="B144"/>
      <c r="C144"/>
      <c r="D144"/>
      <c r="E144"/>
      <c r="F144"/>
      <c r="G144"/>
      <c r="H144" s="40"/>
      <c r="I144"/>
    </row>
    <row r="145" spans="1:9" s="1" customFormat="1">
      <c r="A145"/>
      <c r="B145"/>
      <c r="C145"/>
      <c r="D145"/>
      <c r="E145"/>
      <c r="F145"/>
      <c r="G145" s="47"/>
      <c r="H145" s="57"/>
      <c r="I145" s="40"/>
    </row>
    <row r="146" spans="1:9" s="1" customFormat="1">
      <c r="A146"/>
      <c r="B146"/>
      <c r="C146"/>
      <c r="D146"/>
      <c r="E146"/>
      <c r="F146"/>
      <c r="G146" s="48"/>
      <c r="H146" s="57"/>
      <c r="I146" s="40"/>
    </row>
    <row r="147" spans="1:9" s="1" customFormat="1">
      <c r="A147"/>
      <c r="B147"/>
      <c r="C147"/>
      <c r="D147"/>
      <c r="E147"/>
      <c r="F147"/>
      <c r="G147" s="49"/>
      <c r="H147" s="57"/>
      <c r="I147" s="40"/>
    </row>
    <row r="148" spans="1:9" s="1" customFormat="1">
      <c r="A148"/>
      <c r="B148"/>
      <c r="C148"/>
      <c r="D148"/>
      <c r="E148"/>
      <c r="F148"/>
      <c r="G148" s="49"/>
      <c r="H148" s="57"/>
      <c r="I148" s="40"/>
    </row>
    <row r="149" spans="1:9" s="1" customFormat="1">
      <c r="A149"/>
      <c r="B149"/>
      <c r="C149"/>
      <c r="D149"/>
      <c r="E149"/>
      <c r="F149"/>
      <c r="G149" s="49"/>
      <c r="H149" s="57"/>
      <c r="I149" s="40"/>
    </row>
    <row r="150" spans="1:9" s="1" customFormat="1">
      <c r="A150"/>
      <c r="B150"/>
      <c r="C150"/>
      <c r="D150"/>
      <c r="E150"/>
      <c r="F150"/>
      <c r="G150" s="49"/>
      <c r="H150" s="57"/>
      <c r="I150" s="40"/>
    </row>
    <row r="151" spans="1:9" s="1" customFormat="1">
      <c r="A151"/>
      <c r="B151"/>
      <c r="C151"/>
      <c r="D151"/>
      <c r="E151"/>
      <c r="F151"/>
      <c r="G151"/>
      <c r="H151"/>
      <c r="I151"/>
    </row>
    <row r="152" spans="1:9" s="1" customFormat="1">
      <c r="A152" s="55"/>
      <c r="B152" s="55"/>
      <c r="C152" s="55"/>
      <c r="D152" s="55"/>
      <c r="E152" s="55"/>
      <c r="F152" s="55"/>
      <c r="G152" s="509"/>
      <c r="H152" s="58"/>
      <c r="I152" s="58"/>
    </row>
    <row r="153" spans="1:9" s="1" customFormat="1">
      <c r="A153" s="55"/>
      <c r="B153" s="55"/>
      <c r="C153" s="55"/>
      <c r="D153" s="55"/>
      <c r="E153" s="55"/>
      <c r="F153" s="55"/>
      <c r="G153" s="509"/>
      <c r="H153" s="58"/>
      <c r="I153" s="58"/>
    </row>
    <row r="154" spans="1:9" s="1" customFormat="1">
      <c r="A154" s="50"/>
      <c r="B154"/>
      <c r="C154" s="51"/>
      <c r="D154" s="51"/>
      <c r="E154" s="51"/>
      <c r="F154"/>
      <c r="G154" s="51"/>
      <c r="H154" s="59"/>
      <c r="I154" s="40"/>
    </row>
    <row r="155" spans="1:9" s="1" customFormat="1">
      <c r="A155"/>
      <c r="B155"/>
      <c r="C155"/>
      <c r="D155"/>
      <c r="E155"/>
      <c r="F155"/>
      <c r="G155" s="40"/>
      <c r="H155" s="40"/>
      <c r="I155" s="57"/>
    </row>
    <row r="156" spans="1:9" s="1" customFormat="1">
      <c r="A156"/>
      <c r="B156"/>
      <c r="C156"/>
      <c r="D156"/>
      <c r="E156"/>
      <c r="F156"/>
      <c r="G156" s="57"/>
      <c r="H156" s="40"/>
      <c r="I156" s="40"/>
    </row>
    <row r="157" spans="1:9" s="1" customFormat="1">
      <c r="A157"/>
      <c r="B157"/>
      <c r="C157"/>
      <c r="D157"/>
      <c r="E157"/>
      <c r="F157"/>
      <c r="G157" s="38"/>
      <c r="H157" s="40"/>
      <c r="I157" s="40"/>
    </row>
    <row r="158" spans="1:9" s="1" customFormat="1">
      <c r="A158"/>
      <c r="B158"/>
      <c r="C158"/>
      <c r="D158"/>
      <c r="E158"/>
      <c r="F158"/>
      <c r="G158" s="60"/>
      <c r="H158" s="40"/>
      <c r="I158" s="40"/>
    </row>
    <row r="159" spans="1:9" s="1" customFormat="1">
      <c r="A159"/>
      <c r="B159"/>
      <c r="C159"/>
      <c r="D159"/>
      <c r="E159"/>
      <c r="F159" s="40"/>
      <c r="G159"/>
      <c r="H159"/>
      <c r="I159"/>
    </row>
    <row r="160" spans="1:9" s="1" customFormat="1">
      <c r="A160" s="52"/>
      <c r="B160"/>
      <c r="C160"/>
      <c r="D160"/>
      <c r="E160"/>
      <c r="F160" s="40"/>
      <c r="G160"/>
      <c r="H160"/>
      <c r="I160"/>
    </row>
    <row r="161" spans="1:9" s="1" customFormat="1">
      <c r="A161"/>
      <c r="B161" s="61"/>
      <c r="C161"/>
      <c r="D161"/>
      <c r="E161"/>
      <c r="F161"/>
      <c r="G161"/>
      <c r="H161"/>
      <c r="I161"/>
    </row>
    <row r="162" spans="1:9" s="1" customFormat="1">
      <c r="A162" s="507"/>
      <c r="B162" s="62"/>
      <c r="C162" s="62"/>
      <c r="D162" s="62"/>
      <c r="E162" s="507"/>
      <c r="F162" s="507"/>
      <c r="G162" s="507"/>
      <c r="H162" s="507"/>
      <c r="I162" s="507"/>
    </row>
    <row r="163" spans="1:9" s="1" customFormat="1">
      <c r="A163" s="507"/>
      <c r="B163" s="62"/>
      <c r="C163" s="62"/>
      <c r="D163" s="62"/>
      <c r="E163" s="62"/>
      <c r="F163" s="62"/>
      <c r="G163" s="508"/>
      <c r="H163" s="508"/>
      <c r="I163" s="508"/>
    </row>
    <row r="164" spans="1:9" s="1" customFormat="1">
      <c r="A164" s="53"/>
      <c r="B164" s="63"/>
      <c r="C164" s="40"/>
      <c r="D164" s="40"/>
      <c r="E164" s="40"/>
      <c r="F164" s="54"/>
      <c r="G164" s="40"/>
      <c r="H164" s="40"/>
      <c r="I164" s="45"/>
    </row>
    <row r="165" spans="1:9" s="1" customFormat="1">
      <c r="A165" s="53"/>
      <c r="B165" s="63"/>
      <c r="C165" s="40"/>
      <c r="D165" s="40"/>
      <c r="E165" s="40"/>
      <c r="F165" s="54"/>
      <c r="G165" s="40"/>
      <c r="H165" s="44"/>
      <c r="I165" s="45"/>
    </row>
    <row r="166" spans="1:9" s="1" customFormat="1">
      <c r="A166" s="53"/>
      <c r="B166" s="63"/>
      <c r="C166" s="40"/>
      <c r="D166" s="40"/>
      <c r="E166" s="40"/>
      <c r="F166" s="54"/>
      <c r="G166" s="40"/>
      <c r="H166" s="44"/>
      <c r="I166"/>
    </row>
    <row r="167" spans="1:9" s="1" customFormat="1">
      <c r="A167" s="53"/>
      <c r="B167" s="63"/>
      <c r="C167" s="40"/>
      <c r="D167" s="40"/>
      <c r="E167" s="40"/>
      <c r="F167" s="54"/>
      <c r="G167" s="40"/>
      <c r="H167" s="44"/>
      <c r="I167" s="45"/>
    </row>
    <row r="168" spans="1:9" s="1" customFormat="1">
      <c r="A168" s="53"/>
      <c r="B168" s="64"/>
      <c r="C168" s="40"/>
      <c r="D168" s="40"/>
      <c r="E168" s="40"/>
      <c r="F168" s="54"/>
      <c r="G168" s="40"/>
      <c r="H168" s="44"/>
      <c r="I168" s="45"/>
    </row>
    <row r="169" spans="1:9" s="1" customFormat="1">
      <c r="A169" s="53"/>
      <c r="B169" s="64"/>
      <c r="C169" s="40"/>
      <c r="D169" s="40"/>
      <c r="E169" s="40"/>
      <c r="F169" s="54"/>
      <c r="G169" s="40"/>
      <c r="H169" s="44"/>
      <c r="I169" s="45"/>
    </row>
    <row r="170" spans="1:9" s="1" customFormat="1">
      <c r="A170" s="53"/>
      <c r="B170" s="64"/>
      <c r="C170" s="40"/>
      <c r="D170" s="40"/>
      <c r="E170" s="40"/>
      <c r="F170" s="54"/>
      <c r="G170" s="40"/>
      <c r="H170" s="44"/>
      <c r="I170" s="45"/>
    </row>
    <row r="171" spans="1:9" s="1" customFormat="1">
      <c r="A171" s="53"/>
      <c r="B171" s="64"/>
      <c r="C171" s="40"/>
      <c r="D171" s="40"/>
      <c r="E171" s="40"/>
      <c r="F171" s="54"/>
      <c r="G171" s="40"/>
      <c r="H171" s="44"/>
      <c r="I171" s="45"/>
    </row>
    <row r="172" spans="1:9" s="1" customFormat="1">
      <c r="A172" s="53"/>
      <c r="B172" s="64"/>
      <c r="C172" s="40"/>
      <c r="D172" s="40"/>
      <c r="E172" s="40"/>
      <c r="F172" s="54"/>
      <c r="G172" s="40"/>
      <c r="H172" s="44"/>
      <c r="I172" s="45"/>
    </row>
    <row r="173" spans="1:9" s="1" customFormat="1">
      <c r="A173" s="53"/>
      <c r="B173" s="64"/>
      <c r="C173" s="40"/>
      <c r="D173" s="40"/>
      <c r="E173" s="40"/>
      <c r="F173" s="54"/>
      <c r="G173" s="40"/>
      <c r="H173" s="44"/>
      <c r="I173" s="45"/>
    </row>
    <row r="174" spans="1:9" s="1" customFormat="1">
      <c r="A174" s="53"/>
      <c r="B174" s="64"/>
      <c r="C174" s="40"/>
      <c r="D174" s="40"/>
      <c r="E174" s="40"/>
      <c r="F174" s="54"/>
      <c r="G174" s="40"/>
      <c r="H174" s="44"/>
      <c r="I174" s="45"/>
    </row>
    <row r="175" spans="1:9" s="1" customFormat="1">
      <c r="A175" s="53"/>
      <c r="B175" s="64"/>
      <c r="C175" s="40"/>
      <c r="D175" s="40"/>
      <c r="E175" s="40"/>
      <c r="F175" s="54"/>
      <c r="G175" s="40"/>
      <c r="H175" s="44"/>
      <c r="I175" s="45"/>
    </row>
    <row r="176" spans="1:9" s="1" customFormat="1">
      <c r="A176" s="53"/>
      <c r="B176" s="64"/>
      <c r="C176" s="40"/>
      <c r="D176" s="40"/>
      <c r="E176" s="40"/>
      <c r="F176" s="54"/>
      <c r="G176" s="40"/>
      <c r="H176" s="44"/>
      <c r="I176" s="45"/>
    </row>
    <row r="177" spans="1:9" s="1" customFormat="1">
      <c r="A177" s="53"/>
      <c r="B177" s="64"/>
      <c r="C177" s="40"/>
      <c r="D177" s="40"/>
      <c r="E177" s="40"/>
      <c r="F177" s="54"/>
      <c r="G177" s="40"/>
      <c r="H177" s="44"/>
      <c r="I177" s="45"/>
    </row>
    <row r="178" spans="1:9" s="1" customFormat="1">
      <c r="A178" s="53"/>
      <c r="B178" s="64"/>
      <c r="C178" s="40"/>
      <c r="D178" s="40"/>
      <c r="E178" s="40"/>
      <c r="F178" s="54"/>
      <c r="G178" s="40"/>
      <c r="H178" s="44"/>
      <c r="I178" s="45"/>
    </row>
    <row r="179" spans="1:9" s="1" customFormat="1">
      <c r="A179" s="53"/>
      <c r="B179" s="64"/>
      <c r="C179" s="40"/>
      <c r="D179" s="40"/>
      <c r="E179" s="40"/>
      <c r="F179" s="54"/>
      <c r="G179" s="40"/>
      <c r="H179" s="44"/>
      <c r="I179" s="45"/>
    </row>
    <row r="180" spans="1:9" s="1" customFormat="1">
      <c r="A180" s="53"/>
      <c r="B180" s="64"/>
      <c r="C180" s="40"/>
      <c r="D180" s="40"/>
      <c r="E180" s="40"/>
      <c r="F180" s="54"/>
      <c r="G180" s="40"/>
      <c r="H180" s="44"/>
      <c r="I180" s="45"/>
    </row>
    <row r="181" spans="1:9" s="1" customFormat="1">
      <c r="A181" s="53"/>
      <c r="B181" s="64"/>
      <c r="C181" s="40"/>
      <c r="D181" s="40"/>
      <c r="E181" s="40"/>
      <c r="F181" s="54"/>
      <c r="G181" s="40"/>
      <c r="H181" s="44"/>
      <c r="I181" s="45"/>
    </row>
    <row r="182" spans="1:9" s="1" customFormat="1">
      <c r="A182" s="53"/>
      <c r="B182" s="64"/>
      <c r="C182" s="40"/>
      <c r="D182" s="40"/>
      <c r="E182" s="40"/>
      <c r="F182" s="54"/>
      <c r="G182" s="40"/>
      <c r="H182" s="44"/>
      <c r="I182" s="45"/>
    </row>
    <row r="183" spans="1:9" s="1" customFormat="1">
      <c r="A183" s="53"/>
      <c r="B183" s="64"/>
      <c r="C183" s="40"/>
      <c r="D183" s="40"/>
      <c r="E183" s="40"/>
      <c r="F183" s="54"/>
      <c r="G183" s="40"/>
      <c r="H183" s="44"/>
      <c r="I183" s="45"/>
    </row>
    <row r="184" spans="1:9" s="1" customFormat="1">
      <c r="A184" s="53"/>
      <c r="B184" s="64"/>
      <c r="C184" s="40"/>
      <c r="D184" s="40"/>
      <c r="E184" s="40"/>
      <c r="F184" s="54"/>
      <c r="G184" s="40"/>
      <c r="H184" s="44"/>
      <c r="I184" s="45"/>
    </row>
    <row r="185" spans="1:9" s="1" customFormat="1">
      <c r="A185" s="53"/>
      <c r="B185" s="64"/>
      <c r="C185" s="40"/>
      <c r="D185" s="40"/>
      <c r="E185" s="40"/>
      <c r="F185" s="54"/>
      <c r="G185" s="40"/>
      <c r="H185" s="44"/>
      <c r="I185" s="45"/>
    </row>
    <row r="186" spans="1:9" s="1" customFormat="1">
      <c r="A186" s="53"/>
      <c r="B186" s="64"/>
      <c r="C186" s="40"/>
      <c r="D186" s="40"/>
      <c r="E186" s="40"/>
      <c r="F186" s="54"/>
      <c r="G186" s="40"/>
      <c r="H186" s="44"/>
      <c r="I186" s="45"/>
    </row>
    <row r="187" spans="1:9" s="1" customFormat="1">
      <c r="A187" s="53"/>
      <c r="B187" s="64"/>
      <c r="C187" s="40"/>
      <c r="D187" s="40"/>
      <c r="E187" s="40"/>
      <c r="F187" s="54"/>
      <c r="G187" s="40"/>
      <c r="H187" s="44"/>
      <c r="I187" s="45"/>
    </row>
    <row r="188" spans="1:9" s="1" customFormat="1">
      <c r="A188" s="53"/>
      <c r="B188" s="64"/>
      <c r="C188" s="40"/>
      <c r="D188" s="40"/>
      <c r="E188" s="40"/>
      <c r="F188" s="54"/>
      <c r="G188" s="40"/>
      <c r="H188" s="44"/>
      <c r="I188" s="45"/>
    </row>
    <row r="189" spans="1:9" s="1" customFormat="1">
      <c r="A189" s="69"/>
      <c r="B189" s="46"/>
      <c r="C189" s="46"/>
      <c r="D189" s="46"/>
      <c r="E189" s="46"/>
      <c r="F189" s="46"/>
      <c r="G189" s="46"/>
      <c r="H189" s="46"/>
      <c r="I189" s="46"/>
    </row>
    <row r="190" spans="1:9" s="1" customFormat="1">
      <c r="A190"/>
      <c r="B190" s="40"/>
      <c r="C190" s="40"/>
      <c r="D190" s="40"/>
      <c r="E190" s="40"/>
      <c r="F190"/>
      <c r="G190"/>
      <c r="H190"/>
      <c r="I190"/>
    </row>
    <row r="191" spans="1:9" s="1" customFormat="1">
      <c r="A191"/>
      <c r="B191"/>
      <c r="C191" s="65"/>
      <c r="D191" s="65"/>
      <c r="E191" s="66"/>
      <c r="F191" s="67"/>
      <c r="G191" s="65"/>
      <c r="H191"/>
      <c r="I191" s="68"/>
    </row>
    <row r="192" spans="1:9" s="1" customFormat="1" ht="12"/>
    <row r="193" spans="1:9" s="1" customFormat="1" ht="20.25">
      <c r="A193" s="42"/>
      <c r="B193" s="41"/>
      <c r="G193" s="43"/>
      <c r="H193" s="43"/>
      <c r="I193" s="43"/>
    </row>
    <row r="194" spans="1:9" s="1" customFormat="1" ht="20.25">
      <c r="A194" s="43"/>
      <c r="B194" s="43"/>
      <c r="C194" s="43"/>
      <c r="D194" s="43"/>
      <c r="E194" s="43"/>
      <c r="F194" s="43"/>
      <c r="G194" s="43"/>
      <c r="H194" s="43"/>
      <c r="I194" s="43"/>
    </row>
    <row r="195" spans="1:9" s="1" customFormat="1" ht="33" customHeight="1">
      <c r="A195" s="506"/>
      <c r="B195" s="563"/>
      <c r="C195" s="563"/>
      <c r="D195" s="147"/>
      <c r="E195" s="43"/>
      <c r="F195" s="43"/>
      <c r="G195" s="43"/>
      <c r="H195" s="43"/>
      <c r="I195" s="43"/>
    </row>
    <row r="196" spans="1:9" s="1" customFormat="1">
      <c r="A196" s="55"/>
      <c r="B196" s="55"/>
      <c r="C196" s="55"/>
      <c r="D196" s="55"/>
      <c r="E196" s="55"/>
      <c r="F196" s="55"/>
      <c r="G196" s="56"/>
      <c r="H196" s="56"/>
      <c r="I196" s="510"/>
    </row>
    <row r="197" spans="1:9" s="1" customFormat="1">
      <c r="A197" s="55"/>
      <c r="B197" s="55"/>
      <c r="C197" s="55"/>
      <c r="D197" s="55"/>
      <c r="E197" s="55"/>
      <c r="F197" s="55"/>
      <c r="G197" s="56"/>
      <c r="H197" s="56"/>
      <c r="I197" s="510"/>
    </row>
    <row r="198" spans="1:9" s="1" customFormat="1">
      <c r="A198"/>
      <c r="B198"/>
      <c r="C198"/>
      <c r="D198"/>
      <c r="E198"/>
      <c r="F198"/>
      <c r="G198"/>
      <c r="H198" s="40"/>
      <c r="I198"/>
    </row>
    <row r="199" spans="1:9" s="1" customFormat="1">
      <c r="A199"/>
      <c r="B199"/>
      <c r="C199"/>
      <c r="D199"/>
      <c r="E199"/>
      <c r="F199"/>
      <c r="G199" s="47"/>
      <c r="H199" s="57"/>
      <c r="I199" s="40"/>
    </row>
    <row r="200" spans="1:9" s="1" customFormat="1">
      <c r="A200"/>
      <c r="B200"/>
      <c r="C200"/>
      <c r="D200"/>
      <c r="E200"/>
      <c r="F200"/>
      <c r="G200" s="48"/>
      <c r="H200" s="57"/>
      <c r="I200" s="40"/>
    </row>
    <row r="201" spans="1:9" s="1" customFormat="1">
      <c r="A201"/>
      <c r="B201"/>
      <c r="C201"/>
      <c r="D201"/>
      <c r="E201"/>
      <c r="F201"/>
      <c r="G201" s="49"/>
      <c r="H201" s="57"/>
      <c r="I201" s="40"/>
    </row>
    <row r="202" spans="1:9" s="1" customFormat="1">
      <c r="A202"/>
      <c r="B202"/>
      <c r="C202"/>
      <c r="D202"/>
      <c r="E202"/>
      <c r="F202"/>
      <c r="G202" s="49"/>
      <c r="H202" s="57"/>
      <c r="I202" s="40"/>
    </row>
    <row r="203" spans="1:9" s="1" customFormat="1">
      <c r="A203"/>
      <c r="B203"/>
      <c r="C203"/>
      <c r="D203"/>
      <c r="E203"/>
      <c r="F203"/>
      <c r="G203" s="49"/>
      <c r="H203" s="57"/>
      <c r="I203" s="40"/>
    </row>
    <row r="204" spans="1:9" s="1" customFormat="1">
      <c r="A204"/>
      <c r="B204"/>
      <c r="C204"/>
      <c r="D204"/>
      <c r="E204"/>
      <c r="F204"/>
      <c r="G204" s="49"/>
      <c r="H204" s="57"/>
      <c r="I204" s="40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 s="55"/>
      <c r="B206" s="55"/>
      <c r="C206" s="55"/>
      <c r="D206" s="55"/>
      <c r="E206" s="55"/>
      <c r="F206" s="55"/>
      <c r="G206" s="509"/>
      <c r="H206" s="58"/>
      <c r="I206" s="58"/>
    </row>
    <row r="207" spans="1:9" s="1" customFormat="1">
      <c r="A207" s="55"/>
      <c r="B207" s="55"/>
      <c r="C207" s="55"/>
      <c r="D207" s="55"/>
      <c r="E207" s="55"/>
      <c r="F207" s="55"/>
      <c r="G207" s="509"/>
      <c r="H207" s="58"/>
      <c r="I207" s="58"/>
    </row>
    <row r="208" spans="1:9" s="1" customFormat="1">
      <c r="A208" s="50"/>
      <c r="B208"/>
      <c r="C208" s="51"/>
      <c r="D208" s="51"/>
      <c r="E208" s="51"/>
      <c r="F208"/>
      <c r="G208" s="51"/>
      <c r="H208" s="59"/>
      <c r="I208" s="40"/>
    </row>
    <row r="209" spans="1:9" s="1" customFormat="1">
      <c r="A209"/>
      <c r="B209"/>
      <c r="C209"/>
      <c r="D209"/>
      <c r="E209"/>
      <c r="F209"/>
      <c r="G209" s="40"/>
      <c r="H209" s="40"/>
      <c r="I209" s="57"/>
    </row>
    <row r="210" spans="1:9" s="1" customFormat="1">
      <c r="A210"/>
      <c r="B210"/>
      <c r="C210"/>
      <c r="D210"/>
      <c r="E210"/>
      <c r="F210"/>
      <c r="G210" s="57"/>
      <c r="H210" s="40"/>
      <c r="I210" s="40"/>
    </row>
    <row r="211" spans="1:9" s="1" customFormat="1">
      <c r="A211"/>
      <c r="B211"/>
      <c r="C211"/>
      <c r="D211"/>
      <c r="E211"/>
      <c r="F211"/>
      <c r="G211" s="38"/>
      <c r="H211" s="40"/>
      <c r="I211" s="40"/>
    </row>
    <row r="212" spans="1:9" s="1" customFormat="1">
      <c r="A212"/>
      <c r="B212"/>
      <c r="C212"/>
      <c r="D212"/>
      <c r="E212"/>
      <c r="F212"/>
      <c r="G212" s="60"/>
      <c r="H212" s="40"/>
      <c r="I212" s="40"/>
    </row>
    <row r="213" spans="1:9" s="1" customFormat="1">
      <c r="A213"/>
      <c r="B213"/>
      <c r="C213"/>
      <c r="D213"/>
      <c r="E213"/>
      <c r="F213" s="40"/>
      <c r="G213"/>
      <c r="H213"/>
      <c r="I213"/>
    </row>
    <row r="214" spans="1:9" s="1" customFormat="1">
      <c r="A214" s="52"/>
      <c r="B214"/>
      <c r="C214"/>
      <c r="D214"/>
      <c r="E214"/>
      <c r="F214" s="40"/>
      <c r="G214"/>
      <c r="H214"/>
      <c r="I214"/>
    </row>
    <row r="215" spans="1:9" s="1" customFormat="1">
      <c r="A215"/>
      <c r="B215" s="61"/>
      <c r="C215"/>
      <c r="D215"/>
      <c r="E215"/>
      <c r="F215"/>
      <c r="G215"/>
      <c r="H215"/>
      <c r="I215"/>
    </row>
    <row r="216" spans="1:9" s="1" customFormat="1">
      <c r="A216" s="507"/>
      <c r="B216" s="62"/>
      <c r="C216" s="62"/>
      <c r="D216" s="62"/>
      <c r="E216" s="507"/>
      <c r="F216" s="507"/>
      <c r="G216" s="507"/>
      <c r="H216" s="507"/>
      <c r="I216" s="507"/>
    </row>
    <row r="217" spans="1:9" s="1" customFormat="1">
      <c r="A217" s="507"/>
      <c r="B217" s="62"/>
      <c r="C217" s="62"/>
      <c r="D217" s="62"/>
      <c r="E217" s="62"/>
      <c r="F217" s="62"/>
      <c r="G217" s="508"/>
      <c r="H217" s="508"/>
      <c r="I217" s="508"/>
    </row>
    <row r="218" spans="1:9" s="1" customFormat="1">
      <c r="A218" s="53"/>
      <c r="B218" s="63"/>
      <c r="C218" s="40"/>
      <c r="D218" s="40"/>
      <c r="E218" s="40"/>
      <c r="F218" s="54"/>
      <c r="G218" s="40"/>
      <c r="H218" s="40"/>
      <c r="I218" s="45"/>
    </row>
    <row r="219" spans="1:9" s="1" customFormat="1">
      <c r="A219" s="53"/>
      <c r="B219" s="63"/>
      <c r="C219" s="40"/>
      <c r="D219" s="40"/>
      <c r="E219" s="40"/>
      <c r="F219" s="54"/>
      <c r="G219" s="40"/>
      <c r="H219" s="44"/>
      <c r="I219" s="45"/>
    </row>
    <row r="220" spans="1:9" s="1" customFormat="1">
      <c r="A220" s="53"/>
      <c r="B220" s="63"/>
      <c r="C220" s="40"/>
      <c r="D220" s="40"/>
      <c r="E220" s="40"/>
      <c r="F220" s="54"/>
      <c r="G220" s="40"/>
      <c r="H220" s="44"/>
      <c r="I220"/>
    </row>
    <row r="221" spans="1:9" s="1" customFormat="1">
      <c r="A221" s="53"/>
      <c r="B221" s="63"/>
      <c r="C221" s="40"/>
      <c r="D221" s="40"/>
      <c r="E221" s="40"/>
      <c r="F221" s="54"/>
      <c r="G221" s="40"/>
      <c r="H221" s="44"/>
      <c r="I221" s="45"/>
    </row>
    <row r="222" spans="1:9" s="1" customFormat="1">
      <c r="A222" s="53"/>
      <c r="B222" s="64"/>
      <c r="C222" s="40"/>
      <c r="D222" s="40"/>
      <c r="E222" s="40"/>
      <c r="F222" s="54"/>
      <c r="G222" s="40"/>
      <c r="H222" s="44"/>
      <c r="I222" s="45"/>
    </row>
    <row r="223" spans="1:9" s="1" customFormat="1">
      <c r="A223" s="53"/>
      <c r="B223" s="64"/>
      <c r="C223" s="40"/>
      <c r="D223" s="40"/>
      <c r="E223" s="40"/>
      <c r="F223" s="54"/>
      <c r="G223" s="40"/>
      <c r="H223" s="44"/>
      <c r="I223" s="45"/>
    </row>
    <row r="224" spans="1:9" s="1" customFormat="1">
      <c r="A224" s="53"/>
      <c r="B224" s="64"/>
      <c r="C224" s="40"/>
      <c r="D224" s="40"/>
      <c r="E224" s="40"/>
      <c r="F224" s="54"/>
      <c r="G224" s="40"/>
      <c r="H224" s="44"/>
      <c r="I224" s="45"/>
    </row>
    <row r="225" spans="1:9" s="1" customFormat="1">
      <c r="A225" s="53"/>
      <c r="B225" s="64"/>
      <c r="C225" s="40"/>
      <c r="D225" s="40"/>
      <c r="E225" s="40"/>
      <c r="F225" s="54"/>
      <c r="G225" s="40"/>
      <c r="H225" s="44"/>
      <c r="I225" s="45"/>
    </row>
    <row r="226" spans="1:9" s="1" customFormat="1">
      <c r="A226" s="53"/>
      <c r="B226" s="64"/>
      <c r="C226" s="40"/>
      <c r="D226" s="40"/>
      <c r="E226" s="40"/>
      <c r="F226" s="54"/>
      <c r="G226" s="40"/>
      <c r="H226" s="44"/>
      <c r="I226" s="45"/>
    </row>
    <row r="227" spans="1:9" s="1" customFormat="1">
      <c r="A227" s="53"/>
      <c r="B227" s="64"/>
      <c r="C227" s="40"/>
      <c r="D227" s="40"/>
      <c r="E227" s="40"/>
      <c r="F227" s="54"/>
      <c r="G227" s="40"/>
      <c r="H227" s="44"/>
      <c r="I227" s="45"/>
    </row>
    <row r="228" spans="1:9" s="1" customFormat="1">
      <c r="A228" s="53"/>
      <c r="B228" s="64"/>
      <c r="C228" s="40"/>
      <c r="D228" s="40"/>
      <c r="E228" s="40"/>
      <c r="F228" s="54"/>
      <c r="G228" s="40"/>
      <c r="H228" s="44"/>
      <c r="I228" s="45"/>
    </row>
    <row r="229" spans="1:9" s="1" customFormat="1">
      <c r="A229" s="53"/>
      <c r="B229" s="64"/>
      <c r="C229" s="40"/>
      <c r="D229" s="40"/>
      <c r="E229" s="40"/>
      <c r="F229" s="54"/>
      <c r="G229" s="40"/>
      <c r="H229" s="44"/>
      <c r="I229" s="45"/>
    </row>
    <row r="230" spans="1:9" s="1" customFormat="1">
      <c r="A230" s="53"/>
      <c r="B230" s="64"/>
      <c r="C230" s="40"/>
      <c r="D230" s="40"/>
      <c r="E230" s="40"/>
      <c r="F230" s="54"/>
      <c r="G230" s="40"/>
      <c r="H230" s="44"/>
      <c r="I230" s="45"/>
    </row>
    <row r="231" spans="1:9" s="1" customFormat="1">
      <c r="A231" s="53"/>
      <c r="B231" s="64"/>
      <c r="C231" s="40"/>
      <c r="D231" s="40"/>
      <c r="E231" s="40"/>
      <c r="F231" s="54"/>
      <c r="G231" s="40"/>
      <c r="H231" s="44"/>
      <c r="I231" s="45"/>
    </row>
    <row r="232" spans="1:9" s="1" customFormat="1">
      <c r="A232" s="53"/>
      <c r="B232" s="64"/>
      <c r="C232" s="40"/>
      <c r="D232" s="40"/>
      <c r="E232" s="40"/>
      <c r="F232" s="54"/>
      <c r="G232" s="40"/>
      <c r="H232" s="44"/>
      <c r="I232" s="45"/>
    </row>
    <row r="233" spans="1:9" s="1" customFormat="1">
      <c r="A233" s="53"/>
      <c r="B233" s="64"/>
      <c r="C233" s="40"/>
      <c r="D233" s="40"/>
      <c r="E233" s="40"/>
      <c r="F233" s="54"/>
      <c r="G233" s="40"/>
      <c r="H233" s="44"/>
      <c r="I233" s="45"/>
    </row>
    <row r="234" spans="1:9" s="1" customFormat="1">
      <c r="A234" s="53"/>
      <c r="B234" s="64"/>
      <c r="C234" s="40"/>
      <c r="D234" s="40"/>
      <c r="E234" s="40"/>
      <c r="F234" s="54"/>
      <c r="G234" s="40"/>
      <c r="H234" s="44"/>
      <c r="I234" s="45"/>
    </row>
    <row r="235" spans="1:9" s="1" customFormat="1">
      <c r="A235" s="53"/>
      <c r="B235" s="64"/>
      <c r="C235" s="40"/>
      <c r="D235" s="40"/>
      <c r="E235" s="40"/>
      <c r="F235" s="54"/>
      <c r="G235" s="40"/>
      <c r="H235" s="44"/>
      <c r="I235" s="45"/>
    </row>
    <row r="236" spans="1:9" s="1" customFormat="1">
      <c r="A236" s="53"/>
      <c r="B236" s="64"/>
      <c r="C236" s="40"/>
      <c r="D236" s="40"/>
      <c r="E236" s="40"/>
      <c r="F236" s="54"/>
      <c r="G236" s="40"/>
      <c r="H236" s="44"/>
      <c r="I236" s="45"/>
    </row>
    <row r="237" spans="1:9" s="1" customFormat="1">
      <c r="A237" s="53"/>
      <c r="B237" s="64"/>
      <c r="C237" s="40"/>
      <c r="D237" s="40"/>
      <c r="E237" s="40"/>
      <c r="F237" s="54"/>
      <c r="G237" s="40"/>
      <c r="H237" s="44"/>
      <c r="I237" s="45"/>
    </row>
    <row r="238" spans="1:9" s="1" customFormat="1">
      <c r="A238" s="53"/>
      <c r="B238" s="64"/>
      <c r="C238" s="40"/>
      <c r="D238" s="40"/>
      <c r="E238" s="40"/>
      <c r="F238" s="54"/>
      <c r="G238" s="40"/>
      <c r="H238" s="44"/>
      <c r="I238" s="45"/>
    </row>
    <row r="239" spans="1:9" s="1" customFormat="1">
      <c r="A239" s="53"/>
      <c r="B239" s="64"/>
      <c r="C239" s="40"/>
      <c r="D239" s="40"/>
      <c r="E239" s="40"/>
      <c r="F239" s="54"/>
      <c r="G239" s="40"/>
      <c r="H239" s="44"/>
      <c r="I239" s="45"/>
    </row>
    <row r="240" spans="1:9" s="1" customFormat="1">
      <c r="A240" s="53"/>
      <c r="B240" s="64"/>
      <c r="C240" s="40"/>
      <c r="D240" s="40"/>
      <c r="E240" s="40"/>
      <c r="F240" s="54"/>
      <c r="G240" s="40"/>
      <c r="H240" s="44"/>
      <c r="I240" s="45"/>
    </row>
    <row r="241" spans="1:9" s="1" customFormat="1">
      <c r="A241" s="53"/>
      <c r="B241" s="64"/>
      <c r="C241" s="40"/>
      <c r="D241" s="40"/>
      <c r="E241" s="40"/>
      <c r="F241" s="54"/>
      <c r="G241" s="40"/>
      <c r="H241" s="44"/>
      <c r="I241" s="45"/>
    </row>
    <row r="242" spans="1:9" s="1" customFormat="1">
      <c r="A242" s="53"/>
      <c r="B242" s="64"/>
      <c r="C242" s="40"/>
      <c r="D242" s="40"/>
      <c r="E242" s="40"/>
      <c r="F242" s="54"/>
      <c r="G242" s="40"/>
      <c r="H242" s="44"/>
      <c r="I242" s="45"/>
    </row>
    <row r="243" spans="1:9" s="1" customFormat="1">
      <c r="A243" s="69"/>
      <c r="B243" s="46"/>
      <c r="C243" s="46"/>
      <c r="D243" s="46"/>
      <c r="E243" s="46"/>
      <c r="F243" s="46"/>
      <c r="G243" s="46"/>
      <c r="H243" s="46"/>
      <c r="I243" s="46"/>
    </row>
    <row r="244" spans="1:9" s="1" customFormat="1">
      <c r="A244"/>
      <c r="B244" s="40"/>
      <c r="C244" s="40"/>
      <c r="D244" s="40"/>
      <c r="E244" s="40"/>
      <c r="F244"/>
      <c r="G244"/>
      <c r="H244"/>
      <c r="I244"/>
    </row>
    <row r="245" spans="1:9" s="1" customFormat="1">
      <c r="A245"/>
      <c r="B245"/>
      <c r="C245" s="65"/>
      <c r="D245" s="65"/>
      <c r="E245" s="66"/>
      <c r="F245" s="67"/>
      <c r="G245" s="65"/>
      <c r="H245"/>
      <c r="I245" s="68"/>
    </row>
    <row r="246" spans="1:9" s="1" customFormat="1" ht="12"/>
    <row r="247" spans="1:9" s="1" customFormat="1" ht="12"/>
    <row r="248" spans="1:9" s="1" customFormat="1" ht="20.25">
      <c r="A248" s="42"/>
      <c r="B248" s="41"/>
      <c r="G248" s="43"/>
      <c r="H248" s="43"/>
      <c r="I248" s="43"/>
    </row>
    <row r="249" spans="1:9" s="1" customFormat="1" ht="20.25">
      <c r="A249" s="43"/>
      <c r="B249" s="43"/>
      <c r="C249" s="43"/>
      <c r="D249" s="43"/>
      <c r="E249" s="43"/>
      <c r="F249" s="43"/>
      <c r="G249" s="43"/>
      <c r="H249" s="43"/>
      <c r="I249" s="43"/>
    </row>
    <row r="250" spans="1:9" s="1" customFormat="1" ht="42.75" customHeight="1">
      <c r="A250" s="506"/>
      <c r="B250" s="563"/>
      <c r="C250" s="563"/>
      <c r="D250" s="147"/>
      <c r="E250" s="43"/>
      <c r="F250" s="43"/>
      <c r="G250" s="43"/>
      <c r="H250" s="43"/>
      <c r="I250" s="43"/>
    </row>
    <row r="251" spans="1:9" s="1" customFormat="1">
      <c r="A251" s="55"/>
      <c r="B251" s="55"/>
      <c r="C251" s="55"/>
      <c r="D251" s="55"/>
      <c r="E251" s="55"/>
      <c r="F251" s="55"/>
      <c r="G251" s="56"/>
      <c r="H251" s="56"/>
      <c r="I251" s="510"/>
    </row>
    <row r="252" spans="1:9" s="1" customFormat="1">
      <c r="A252" s="55"/>
      <c r="B252" s="55"/>
      <c r="C252" s="55"/>
      <c r="D252" s="55"/>
      <c r="E252" s="55"/>
      <c r="F252" s="55"/>
      <c r="G252" s="56"/>
      <c r="H252" s="56"/>
      <c r="I252" s="510"/>
    </row>
    <row r="253" spans="1:9" s="1" customFormat="1">
      <c r="A253"/>
      <c r="B253"/>
      <c r="C253"/>
      <c r="D253"/>
      <c r="E253"/>
      <c r="F253"/>
      <c r="G253"/>
      <c r="H253" s="40"/>
      <c r="I253"/>
    </row>
    <row r="254" spans="1:9" s="1" customFormat="1">
      <c r="A254"/>
      <c r="B254"/>
      <c r="C254"/>
      <c r="D254"/>
      <c r="E254"/>
      <c r="F254"/>
      <c r="G254" s="47"/>
      <c r="H254" s="57"/>
      <c r="I254" s="40"/>
    </row>
    <row r="255" spans="1:9" s="1" customFormat="1">
      <c r="A255"/>
      <c r="B255"/>
      <c r="C255"/>
      <c r="D255"/>
      <c r="E255"/>
      <c r="F255"/>
      <c r="G255" s="48"/>
      <c r="H255" s="57"/>
      <c r="I255" s="40"/>
    </row>
    <row r="256" spans="1:9" s="1" customFormat="1">
      <c r="A256"/>
      <c r="B256"/>
      <c r="C256"/>
      <c r="D256"/>
      <c r="E256"/>
      <c r="F256"/>
      <c r="G256" s="49"/>
      <c r="H256" s="57"/>
      <c r="I256" s="40"/>
    </row>
    <row r="257" spans="1:9" s="1" customFormat="1">
      <c r="A257"/>
      <c r="B257"/>
      <c r="C257"/>
      <c r="D257"/>
      <c r="E257"/>
      <c r="F257"/>
      <c r="G257" s="49"/>
      <c r="H257" s="57"/>
      <c r="I257" s="40"/>
    </row>
    <row r="258" spans="1:9" s="1" customFormat="1">
      <c r="A258"/>
      <c r="B258"/>
      <c r="C258"/>
      <c r="D258"/>
      <c r="E258"/>
      <c r="F258"/>
      <c r="G258" s="49"/>
      <c r="H258" s="57"/>
      <c r="I258" s="40"/>
    </row>
    <row r="259" spans="1:9" s="1" customFormat="1">
      <c r="A259"/>
      <c r="B259"/>
      <c r="C259"/>
      <c r="D259"/>
      <c r="E259"/>
      <c r="F259"/>
      <c r="G259" s="49"/>
      <c r="H259" s="57"/>
      <c r="I259" s="40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 s="55"/>
      <c r="B261" s="55"/>
      <c r="C261" s="55"/>
      <c r="D261" s="55"/>
      <c r="E261" s="55"/>
      <c r="F261" s="55"/>
      <c r="G261" s="509"/>
      <c r="H261" s="58"/>
      <c r="I261" s="58"/>
    </row>
    <row r="262" spans="1:9" s="1" customFormat="1">
      <c r="A262" s="55"/>
      <c r="B262" s="55"/>
      <c r="C262" s="55"/>
      <c r="D262" s="55"/>
      <c r="E262" s="55"/>
      <c r="F262" s="55"/>
      <c r="G262" s="509"/>
      <c r="H262" s="58"/>
      <c r="I262" s="58"/>
    </row>
    <row r="263" spans="1:9" s="1" customFormat="1">
      <c r="A263" s="50"/>
      <c r="B263"/>
      <c r="C263" s="51"/>
      <c r="D263" s="51"/>
      <c r="E263" s="51"/>
      <c r="F263"/>
      <c r="G263" s="51"/>
      <c r="H263" s="59"/>
      <c r="I263" s="40"/>
    </row>
    <row r="264" spans="1:9" s="1" customFormat="1">
      <c r="A264"/>
      <c r="B264"/>
      <c r="C264"/>
      <c r="D264"/>
      <c r="E264"/>
      <c r="F264"/>
      <c r="G264" s="40"/>
      <c r="H264" s="40"/>
      <c r="I264" s="57"/>
    </row>
    <row r="265" spans="1:9" s="1" customFormat="1">
      <c r="A265"/>
      <c r="B265"/>
      <c r="C265"/>
      <c r="D265"/>
      <c r="E265"/>
      <c r="F265"/>
      <c r="G265" s="57"/>
      <c r="H265" s="40"/>
      <c r="I265" s="40"/>
    </row>
    <row r="266" spans="1:9" s="1" customFormat="1">
      <c r="A266"/>
      <c r="B266"/>
      <c r="C266"/>
      <c r="D266"/>
      <c r="E266"/>
      <c r="F266"/>
      <c r="G266" s="38"/>
      <c r="H266" s="40"/>
      <c r="I266" s="40"/>
    </row>
    <row r="267" spans="1:9" s="1" customFormat="1">
      <c r="A267"/>
      <c r="B267"/>
      <c r="C267"/>
      <c r="D267"/>
      <c r="E267"/>
      <c r="F267"/>
      <c r="G267" s="60"/>
      <c r="H267" s="40"/>
      <c r="I267" s="40"/>
    </row>
    <row r="268" spans="1:9" s="1" customFormat="1">
      <c r="A268"/>
      <c r="B268"/>
      <c r="C268"/>
      <c r="D268"/>
      <c r="E268"/>
      <c r="F268" s="40"/>
      <c r="G268"/>
      <c r="H268"/>
      <c r="I268"/>
    </row>
    <row r="269" spans="1:9" s="1" customFormat="1">
      <c r="A269" s="52"/>
      <c r="B269"/>
      <c r="C269"/>
      <c r="D269"/>
      <c r="E269"/>
      <c r="F269" s="40"/>
      <c r="G269"/>
      <c r="H269"/>
      <c r="I269"/>
    </row>
    <row r="270" spans="1:9" s="1" customFormat="1">
      <c r="A270"/>
      <c r="B270" s="61"/>
      <c r="C270"/>
      <c r="D270"/>
      <c r="E270"/>
      <c r="F270"/>
      <c r="G270"/>
      <c r="H270"/>
      <c r="I270"/>
    </row>
    <row r="271" spans="1:9" s="1" customFormat="1">
      <c r="A271" s="507"/>
      <c r="B271" s="62"/>
      <c r="C271" s="62"/>
      <c r="D271" s="62"/>
      <c r="E271" s="507"/>
      <c r="F271" s="507"/>
      <c r="G271" s="507"/>
      <c r="H271" s="507"/>
      <c r="I271" s="507"/>
    </row>
    <row r="272" spans="1:9" s="1" customFormat="1">
      <c r="A272" s="507"/>
      <c r="B272" s="62"/>
      <c r="C272" s="62"/>
      <c r="D272" s="62"/>
      <c r="E272" s="62"/>
      <c r="F272" s="62"/>
      <c r="G272" s="508"/>
      <c r="H272" s="508"/>
      <c r="I272" s="508"/>
    </row>
    <row r="273" spans="1:9" s="1" customFormat="1">
      <c r="A273" s="53"/>
      <c r="B273" s="63"/>
      <c r="C273" s="40"/>
      <c r="D273" s="40"/>
      <c r="E273" s="40"/>
      <c r="F273" s="54"/>
      <c r="G273" s="40"/>
      <c r="H273" s="40"/>
      <c r="I273" s="45"/>
    </row>
    <row r="274" spans="1:9" s="1" customFormat="1">
      <c r="A274" s="53"/>
      <c r="B274" s="63"/>
      <c r="C274" s="40"/>
      <c r="D274" s="40"/>
      <c r="E274" s="40"/>
      <c r="F274" s="54"/>
      <c r="G274" s="40"/>
      <c r="H274" s="44"/>
      <c r="I274" s="45"/>
    </row>
    <row r="275" spans="1:9" s="1" customFormat="1">
      <c r="A275" s="53"/>
      <c r="B275" s="63"/>
      <c r="C275" s="40"/>
      <c r="D275" s="40"/>
      <c r="E275" s="40"/>
      <c r="F275" s="54"/>
      <c r="G275" s="40"/>
      <c r="H275" s="44"/>
      <c r="I275"/>
    </row>
    <row r="276" spans="1:9" s="1" customFormat="1">
      <c r="A276" s="53"/>
      <c r="B276" s="63"/>
      <c r="C276" s="40"/>
      <c r="D276" s="40"/>
      <c r="E276" s="40"/>
      <c r="F276" s="54"/>
      <c r="G276" s="40"/>
      <c r="H276" s="44"/>
      <c r="I276" s="45"/>
    </row>
    <row r="277" spans="1:9" s="1" customFormat="1">
      <c r="A277" s="53"/>
      <c r="B277" s="64"/>
      <c r="C277" s="40"/>
      <c r="D277" s="40"/>
      <c r="E277" s="40"/>
      <c r="F277" s="54"/>
      <c r="G277" s="40"/>
      <c r="H277" s="44"/>
      <c r="I277" s="45"/>
    </row>
    <row r="278" spans="1:9" s="1" customFormat="1">
      <c r="A278" s="53"/>
      <c r="B278" s="64"/>
      <c r="C278" s="40"/>
      <c r="D278" s="40"/>
      <c r="E278" s="40"/>
      <c r="F278" s="54"/>
      <c r="G278" s="40"/>
      <c r="H278" s="44"/>
      <c r="I278" s="45"/>
    </row>
    <row r="279" spans="1:9" s="1" customFormat="1">
      <c r="A279" s="53"/>
      <c r="B279" s="64"/>
      <c r="C279" s="40"/>
      <c r="D279" s="40"/>
      <c r="E279" s="40"/>
      <c r="F279" s="54"/>
      <c r="G279" s="40"/>
      <c r="H279" s="44"/>
      <c r="I279" s="45"/>
    </row>
    <row r="280" spans="1:9" s="1" customFormat="1">
      <c r="A280" s="53"/>
      <c r="B280" s="64"/>
      <c r="C280" s="40"/>
      <c r="D280" s="40"/>
      <c r="E280" s="40"/>
      <c r="F280" s="54"/>
      <c r="G280" s="40"/>
      <c r="H280" s="44"/>
      <c r="I280" s="45"/>
    </row>
    <row r="281" spans="1:9" s="1" customFormat="1">
      <c r="A281" s="53"/>
      <c r="B281" s="64"/>
      <c r="C281" s="40"/>
      <c r="D281" s="40"/>
      <c r="E281" s="40"/>
      <c r="F281" s="54"/>
      <c r="G281" s="40"/>
      <c r="H281" s="44"/>
      <c r="I281" s="45"/>
    </row>
    <row r="282" spans="1:9" s="1" customFormat="1">
      <c r="A282" s="53"/>
      <c r="B282" s="64"/>
      <c r="C282" s="40"/>
      <c r="D282" s="40"/>
      <c r="E282" s="40"/>
      <c r="F282" s="54"/>
      <c r="G282" s="40"/>
      <c r="H282" s="44"/>
      <c r="I282" s="45"/>
    </row>
    <row r="283" spans="1:9" s="1" customFormat="1">
      <c r="A283" s="53"/>
      <c r="B283" s="64"/>
      <c r="C283" s="40"/>
      <c r="D283" s="40"/>
      <c r="E283" s="40"/>
      <c r="F283" s="54"/>
      <c r="G283" s="40"/>
      <c r="H283" s="44"/>
      <c r="I283" s="45"/>
    </row>
    <row r="284" spans="1:9" s="1" customFormat="1">
      <c r="A284" s="53"/>
      <c r="B284" s="64"/>
      <c r="C284" s="40"/>
      <c r="D284" s="40"/>
      <c r="E284" s="40"/>
      <c r="F284" s="54"/>
      <c r="G284" s="40"/>
      <c r="H284" s="44"/>
      <c r="I284" s="45"/>
    </row>
    <row r="285" spans="1:9" s="1" customFormat="1">
      <c r="A285" s="53"/>
      <c r="B285" s="64"/>
      <c r="C285" s="40"/>
      <c r="D285" s="40"/>
      <c r="E285" s="40"/>
      <c r="F285" s="54"/>
      <c r="G285" s="40"/>
      <c r="H285" s="44"/>
      <c r="I285" s="45"/>
    </row>
    <row r="286" spans="1:9" s="1" customFormat="1">
      <c r="A286" s="53"/>
      <c r="B286" s="64"/>
      <c r="C286" s="40"/>
      <c r="D286" s="40"/>
      <c r="E286" s="40"/>
      <c r="F286" s="54"/>
      <c r="G286" s="40"/>
      <c r="H286" s="44"/>
      <c r="I286" s="45"/>
    </row>
    <row r="287" spans="1:9" s="1" customFormat="1">
      <c r="A287" s="53"/>
      <c r="B287" s="64"/>
      <c r="C287" s="40"/>
      <c r="D287" s="40"/>
      <c r="E287" s="40"/>
      <c r="F287" s="54"/>
      <c r="G287" s="40"/>
      <c r="H287" s="44"/>
      <c r="I287" s="45"/>
    </row>
    <row r="288" spans="1:9" s="1" customFormat="1">
      <c r="A288" s="53"/>
      <c r="B288" s="64"/>
      <c r="C288" s="40"/>
      <c r="D288" s="40"/>
      <c r="E288" s="40"/>
      <c r="F288" s="54"/>
      <c r="G288" s="40"/>
      <c r="H288" s="44"/>
      <c r="I288" s="45"/>
    </row>
    <row r="289" spans="1:9" s="1" customFormat="1">
      <c r="A289" s="53"/>
      <c r="B289" s="64"/>
      <c r="C289" s="40"/>
      <c r="D289" s="40"/>
      <c r="E289" s="40"/>
      <c r="F289" s="54"/>
      <c r="G289" s="40"/>
      <c r="H289" s="44"/>
      <c r="I289" s="45"/>
    </row>
    <row r="290" spans="1:9" s="1" customFormat="1">
      <c r="A290" s="53"/>
      <c r="B290" s="64"/>
      <c r="C290" s="40"/>
      <c r="D290" s="40"/>
      <c r="E290" s="40"/>
      <c r="F290" s="54"/>
      <c r="G290" s="40"/>
      <c r="H290" s="44"/>
      <c r="I290" s="45"/>
    </row>
    <row r="291" spans="1:9" s="1" customFormat="1">
      <c r="A291" s="53"/>
      <c r="B291" s="64"/>
      <c r="C291" s="40"/>
      <c r="D291" s="40"/>
      <c r="E291" s="40"/>
      <c r="F291" s="54"/>
      <c r="G291" s="40"/>
      <c r="H291" s="44"/>
      <c r="I291" s="45"/>
    </row>
    <row r="292" spans="1:9" s="1" customFormat="1">
      <c r="A292" s="53"/>
      <c r="B292" s="64"/>
      <c r="C292" s="40"/>
      <c r="D292" s="40"/>
      <c r="E292" s="40"/>
      <c r="F292" s="54"/>
      <c r="G292" s="40"/>
      <c r="H292" s="44"/>
      <c r="I292" s="45"/>
    </row>
    <row r="293" spans="1:9" s="1" customFormat="1">
      <c r="A293" s="53"/>
      <c r="B293" s="64"/>
      <c r="C293" s="40"/>
      <c r="D293" s="40"/>
      <c r="E293" s="40"/>
      <c r="F293" s="54"/>
      <c r="G293" s="40"/>
      <c r="H293" s="44"/>
      <c r="I293" s="45"/>
    </row>
    <row r="294" spans="1:9" s="1" customFormat="1">
      <c r="A294" s="53"/>
      <c r="B294" s="64"/>
      <c r="C294" s="40"/>
      <c r="D294" s="40"/>
      <c r="E294" s="40"/>
      <c r="F294" s="54"/>
      <c r="G294" s="40"/>
      <c r="H294" s="44"/>
      <c r="I294" s="45"/>
    </row>
    <row r="295" spans="1:9" s="1" customFormat="1">
      <c r="A295" s="53"/>
      <c r="B295" s="64"/>
      <c r="C295" s="40"/>
      <c r="D295" s="40"/>
      <c r="E295" s="40"/>
      <c r="F295" s="54"/>
      <c r="G295" s="40"/>
      <c r="H295" s="44"/>
      <c r="I295" s="45"/>
    </row>
    <row r="296" spans="1:9" s="1" customFormat="1">
      <c r="A296" s="53"/>
      <c r="B296" s="64"/>
      <c r="C296" s="40"/>
      <c r="D296" s="40"/>
      <c r="E296" s="40"/>
      <c r="F296" s="54"/>
      <c r="G296" s="40"/>
      <c r="H296" s="44"/>
      <c r="I296" s="45"/>
    </row>
    <row r="297" spans="1:9" s="1" customFormat="1">
      <c r="A297" s="53"/>
      <c r="B297" s="64"/>
      <c r="C297" s="40"/>
      <c r="D297" s="40"/>
      <c r="E297" s="40"/>
      <c r="F297" s="54"/>
      <c r="G297" s="40"/>
      <c r="H297" s="44"/>
      <c r="I297" s="45"/>
    </row>
    <row r="298" spans="1:9" s="1" customFormat="1">
      <c r="A298" s="69"/>
      <c r="B298" s="46"/>
      <c r="C298" s="46"/>
      <c r="D298" s="46"/>
      <c r="E298" s="46"/>
      <c r="F298" s="46"/>
      <c r="G298" s="46"/>
      <c r="H298" s="46"/>
      <c r="I298" s="46"/>
    </row>
    <row r="299" spans="1:9" s="1" customFormat="1">
      <c r="A299"/>
      <c r="B299" s="40"/>
      <c r="C299" s="40"/>
      <c r="D299" s="40"/>
      <c r="E299" s="40"/>
      <c r="F299"/>
      <c r="G299"/>
      <c r="H299"/>
      <c r="I299"/>
    </row>
    <row r="300" spans="1:9" s="1" customFormat="1">
      <c r="A300"/>
      <c r="B300"/>
      <c r="C300" s="65"/>
      <c r="D300" s="65"/>
      <c r="E300" s="66"/>
      <c r="F300" s="67"/>
      <c r="G300" s="65"/>
      <c r="H300"/>
      <c r="I300" s="68"/>
    </row>
    <row r="301" spans="1:9" s="1" customFormat="1" ht="12"/>
    <row r="302" spans="1:9" s="1" customFormat="1" ht="20.25">
      <c r="A302" s="42"/>
      <c r="B302" s="41"/>
      <c r="G302" s="43"/>
      <c r="H302" s="43"/>
      <c r="I302" s="43"/>
    </row>
    <row r="303" spans="1:9" s="1" customFormat="1" ht="41.25" customHeight="1">
      <c r="A303" s="506"/>
      <c r="B303" s="563"/>
      <c r="C303" s="563"/>
      <c r="D303" s="147"/>
      <c r="E303" s="43"/>
      <c r="F303" s="43"/>
      <c r="G303" s="43"/>
      <c r="H303" s="43"/>
      <c r="I303" s="43"/>
    </row>
    <row r="304" spans="1:9" s="1" customFormat="1">
      <c r="A304" s="55"/>
      <c r="B304" s="55"/>
      <c r="C304" s="55"/>
      <c r="D304" s="55"/>
      <c r="E304" s="55"/>
      <c r="F304" s="55"/>
      <c r="G304" s="56"/>
      <c r="H304" s="56"/>
      <c r="I304" s="510"/>
    </row>
    <row r="305" spans="1:9" s="1" customFormat="1">
      <c r="A305" s="55"/>
      <c r="B305" s="55"/>
      <c r="C305" s="55"/>
      <c r="D305" s="55"/>
      <c r="E305" s="55"/>
      <c r="F305" s="55"/>
      <c r="G305" s="56"/>
      <c r="H305" s="56"/>
      <c r="I305" s="510"/>
    </row>
    <row r="306" spans="1:9" s="1" customFormat="1">
      <c r="A306"/>
      <c r="B306"/>
      <c r="C306"/>
      <c r="D306"/>
      <c r="E306"/>
      <c r="F306"/>
      <c r="G306"/>
      <c r="H306" s="40"/>
      <c r="I306"/>
    </row>
    <row r="307" spans="1:9" s="1" customFormat="1">
      <c r="A307"/>
      <c r="B307"/>
      <c r="C307"/>
      <c r="D307"/>
      <c r="E307"/>
      <c r="F307"/>
      <c r="G307" s="48"/>
      <c r="H307" s="57"/>
      <c r="I307" s="40"/>
    </row>
    <row r="308" spans="1:9" s="1" customFormat="1">
      <c r="A308"/>
      <c r="B308"/>
      <c r="C308"/>
      <c r="D308"/>
      <c r="E308"/>
      <c r="F308"/>
      <c r="G308" s="48"/>
      <c r="H308" s="57"/>
      <c r="I308" s="40"/>
    </row>
    <row r="309" spans="1:9" s="1" customFormat="1">
      <c r="A309"/>
      <c r="B309"/>
      <c r="C309"/>
      <c r="D309"/>
      <c r="E309"/>
      <c r="F309"/>
      <c r="G309" s="49"/>
      <c r="H309" s="57"/>
      <c r="I309" s="40"/>
    </row>
    <row r="310" spans="1:9" s="1" customFormat="1">
      <c r="A310"/>
      <c r="B310"/>
      <c r="C310"/>
      <c r="D310"/>
      <c r="E310"/>
      <c r="F310"/>
      <c r="G310" s="49"/>
      <c r="H310" s="57"/>
      <c r="I310" s="40"/>
    </row>
    <row r="311" spans="1:9" s="1" customFormat="1">
      <c r="A311"/>
      <c r="B311"/>
      <c r="C311"/>
      <c r="D311"/>
      <c r="E311"/>
      <c r="F311"/>
      <c r="G311" s="49"/>
      <c r="H311" s="57"/>
      <c r="I311" s="40"/>
    </row>
    <row r="312" spans="1:9" s="1" customFormat="1">
      <c r="A312"/>
      <c r="B312"/>
      <c r="C312"/>
      <c r="D312"/>
      <c r="E312"/>
      <c r="F312"/>
      <c r="G312" s="49"/>
      <c r="H312" s="57"/>
      <c r="I312" s="40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 s="55"/>
      <c r="B314" s="55"/>
      <c r="C314" s="55"/>
      <c r="D314" s="55"/>
      <c r="E314" s="55"/>
      <c r="F314" s="55"/>
      <c r="G314" s="509"/>
      <c r="H314" s="58"/>
      <c r="I314" s="58"/>
    </row>
    <row r="315" spans="1:9" s="1" customFormat="1">
      <c r="A315" s="55"/>
      <c r="B315" s="55"/>
      <c r="C315" s="55"/>
      <c r="D315" s="55"/>
      <c r="E315" s="55"/>
      <c r="F315" s="55"/>
      <c r="G315" s="509"/>
      <c r="H315" s="58"/>
      <c r="I315" s="58"/>
    </row>
    <row r="316" spans="1:9" s="1" customFormat="1">
      <c r="A316" s="50"/>
      <c r="B316"/>
      <c r="C316" s="51"/>
      <c r="D316" s="51"/>
      <c r="E316" s="51"/>
      <c r="F316"/>
      <c r="G316" s="51"/>
      <c r="H316" s="59"/>
      <c r="I316" s="40"/>
    </row>
    <row r="317" spans="1:9" s="1" customFormat="1">
      <c r="A317"/>
      <c r="B317"/>
      <c r="C317"/>
      <c r="D317"/>
      <c r="E317"/>
      <c r="F317"/>
      <c r="G317" s="40"/>
      <c r="H317" s="40"/>
      <c r="I317" s="57"/>
    </row>
    <row r="318" spans="1:9" s="1" customFormat="1">
      <c r="A318"/>
      <c r="B318"/>
      <c r="C318"/>
      <c r="D318"/>
      <c r="E318"/>
      <c r="F318"/>
      <c r="G318" s="57"/>
      <c r="H318" s="40"/>
      <c r="I318" s="40"/>
    </row>
    <row r="319" spans="1:9" s="1" customFormat="1">
      <c r="A319"/>
      <c r="B319"/>
      <c r="C319"/>
      <c r="D319"/>
      <c r="E319"/>
      <c r="F319"/>
      <c r="G319" s="38"/>
      <c r="H319" s="40"/>
      <c r="I319" s="40"/>
    </row>
    <row r="320" spans="1:9" s="1" customFormat="1">
      <c r="A320"/>
      <c r="B320"/>
      <c r="C320"/>
      <c r="D320"/>
      <c r="E320"/>
      <c r="F320"/>
      <c r="G320" s="60"/>
      <c r="H320" s="40"/>
      <c r="I320" s="40"/>
    </row>
    <row r="321" spans="1:9" s="1" customFormat="1">
      <c r="A321"/>
      <c r="B321"/>
      <c r="C321"/>
      <c r="D321"/>
      <c r="E321"/>
      <c r="F321" s="40"/>
      <c r="G321"/>
      <c r="H321"/>
      <c r="I321"/>
    </row>
    <row r="322" spans="1:9" s="1" customFormat="1">
      <c r="A322" s="52"/>
      <c r="B322"/>
      <c r="C322"/>
      <c r="D322"/>
      <c r="E322"/>
      <c r="F322" s="40"/>
      <c r="G322"/>
      <c r="H322"/>
      <c r="I322"/>
    </row>
    <row r="323" spans="1:9" s="1" customFormat="1">
      <c r="A323"/>
      <c r="B323" s="61"/>
      <c r="C323"/>
      <c r="D323"/>
      <c r="E323"/>
      <c r="F323"/>
      <c r="G323"/>
      <c r="H323"/>
      <c r="I323"/>
    </row>
    <row r="324" spans="1:9" s="1" customFormat="1">
      <c r="A324" s="507"/>
      <c r="B324" s="62"/>
      <c r="C324" s="62"/>
      <c r="D324" s="62"/>
      <c r="E324" s="507"/>
      <c r="F324" s="507"/>
      <c r="G324" s="507"/>
      <c r="H324" s="507"/>
      <c r="I324" s="507"/>
    </row>
    <row r="325" spans="1:9" s="1" customFormat="1">
      <c r="A325" s="507"/>
      <c r="B325" s="62"/>
      <c r="C325" s="62"/>
      <c r="D325" s="62"/>
      <c r="E325" s="62"/>
      <c r="F325" s="62"/>
      <c r="G325" s="508"/>
      <c r="H325" s="508"/>
      <c r="I325" s="508"/>
    </row>
    <row r="326" spans="1:9" s="1" customFormat="1">
      <c r="A326" s="53"/>
      <c r="B326" s="63"/>
      <c r="C326" s="40"/>
      <c r="D326" s="40"/>
      <c r="E326" s="40"/>
      <c r="F326" s="54"/>
      <c r="G326" s="40"/>
      <c r="H326" s="40"/>
      <c r="I326" s="45"/>
    </row>
    <row r="327" spans="1:9" s="1" customFormat="1">
      <c r="A327" s="53"/>
      <c r="B327" s="63"/>
      <c r="C327" s="40"/>
      <c r="D327" s="40"/>
      <c r="E327" s="40"/>
      <c r="F327" s="54"/>
      <c r="G327" s="40"/>
      <c r="H327" s="44"/>
      <c r="I327" s="45"/>
    </row>
    <row r="328" spans="1:9" s="1" customFormat="1">
      <c r="A328" s="53"/>
      <c r="B328" s="63"/>
      <c r="C328" s="40"/>
      <c r="D328" s="40"/>
      <c r="E328" s="40"/>
      <c r="F328" s="54"/>
      <c r="G328" s="40"/>
      <c r="H328" s="44"/>
      <c r="I328"/>
    </row>
    <row r="329" spans="1:9" s="1" customFormat="1">
      <c r="A329" s="53"/>
      <c r="B329" s="63"/>
      <c r="C329" s="40"/>
      <c r="D329" s="40"/>
      <c r="E329" s="40"/>
      <c r="F329" s="54"/>
      <c r="G329" s="40"/>
      <c r="H329" s="44"/>
      <c r="I329" s="45"/>
    </row>
    <row r="330" spans="1:9" s="1" customFormat="1">
      <c r="A330" s="53"/>
      <c r="B330" s="64"/>
      <c r="C330" s="40"/>
      <c r="D330" s="40"/>
      <c r="E330" s="40"/>
      <c r="F330" s="54"/>
      <c r="G330" s="40"/>
      <c r="H330" s="44"/>
      <c r="I330" s="45"/>
    </row>
    <row r="331" spans="1:9" s="1" customFormat="1">
      <c r="A331" s="53"/>
      <c r="B331" s="64"/>
      <c r="C331" s="40"/>
      <c r="D331" s="40"/>
      <c r="E331" s="40"/>
      <c r="F331" s="54"/>
      <c r="G331" s="40"/>
      <c r="H331" s="44"/>
      <c r="I331" s="45"/>
    </row>
    <row r="332" spans="1:9" s="1" customFormat="1">
      <c r="A332" s="53"/>
      <c r="B332" s="64"/>
      <c r="C332" s="40"/>
      <c r="D332" s="40"/>
      <c r="E332" s="40"/>
      <c r="F332" s="54"/>
      <c r="G332" s="40"/>
      <c r="H332" s="44"/>
      <c r="I332" s="45"/>
    </row>
    <row r="333" spans="1:9" s="1" customFormat="1">
      <c r="A333" s="53"/>
      <c r="B333" s="64"/>
      <c r="C333" s="40"/>
      <c r="D333" s="40"/>
      <c r="E333" s="40"/>
      <c r="F333" s="54"/>
      <c r="G333" s="40"/>
      <c r="H333" s="44"/>
      <c r="I333" s="45"/>
    </row>
    <row r="334" spans="1:9" s="1" customFormat="1">
      <c r="A334" s="53"/>
      <c r="B334" s="64"/>
      <c r="C334" s="40"/>
      <c r="D334" s="40"/>
      <c r="E334" s="40"/>
      <c r="F334" s="54"/>
      <c r="G334" s="40"/>
      <c r="H334" s="44"/>
      <c r="I334" s="45"/>
    </row>
    <row r="335" spans="1:9" s="1" customFormat="1">
      <c r="A335" s="53"/>
      <c r="B335" s="64"/>
      <c r="C335" s="40"/>
      <c r="D335" s="40"/>
      <c r="E335" s="40"/>
      <c r="F335" s="54"/>
      <c r="G335" s="40"/>
      <c r="H335" s="44"/>
      <c r="I335" s="45"/>
    </row>
    <row r="336" spans="1:9" s="1" customFormat="1">
      <c r="A336" s="53"/>
      <c r="B336" s="64"/>
      <c r="C336" s="40"/>
      <c r="D336" s="40"/>
      <c r="E336" s="40"/>
      <c r="F336" s="54"/>
      <c r="G336" s="40"/>
      <c r="H336" s="44"/>
      <c r="I336" s="45"/>
    </row>
    <row r="337" spans="1:9" s="1" customFormat="1">
      <c r="A337" s="53"/>
      <c r="B337" s="64"/>
      <c r="C337" s="40"/>
      <c r="D337" s="40"/>
      <c r="E337" s="40"/>
      <c r="F337" s="54"/>
      <c r="G337" s="40"/>
      <c r="H337" s="44"/>
      <c r="I337" s="45"/>
    </row>
    <row r="338" spans="1:9" s="1" customFormat="1">
      <c r="A338" s="53"/>
      <c r="B338" s="64"/>
      <c r="C338" s="40"/>
      <c r="D338" s="40"/>
      <c r="E338" s="40"/>
      <c r="F338" s="54"/>
      <c r="G338" s="40"/>
      <c r="H338" s="44"/>
      <c r="I338" s="45"/>
    </row>
    <row r="339" spans="1:9" s="1" customFormat="1">
      <c r="A339" s="53"/>
      <c r="B339" s="64"/>
      <c r="C339" s="40"/>
      <c r="D339" s="40"/>
      <c r="E339" s="40"/>
      <c r="F339" s="54"/>
      <c r="G339" s="40"/>
      <c r="H339" s="44"/>
      <c r="I339" s="45"/>
    </row>
    <row r="340" spans="1:9" s="1" customFormat="1">
      <c r="A340" s="53"/>
      <c r="B340" s="64"/>
      <c r="C340" s="40"/>
      <c r="D340" s="40"/>
      <c r="E340" s="40"/>
      <c r="F340" s="54"/>
      <c r="G340" s="40"/>
      <c r="H340" s="44"/>
      <c r="I340" s="45"/>
    </row>
    <row r="341" spans="1:9" s="1" customFormat="1">
      <c r="A341" s="53"/>
      <c r="B341" s="64"/>
      <c r="C341" s="40"/>
      <c r="D341" s="40"/>
      <c r="E341" s="40"/>
      <c r="F341" s="54"/>
      <c r="G341" s="40"/>
      <c r="H341" s="44"/>
      <c r="I341" s="45"/>
    </row>
    <row r="342" spans="1:9" s="1" customFormat="1">
      <c r="A342" s="53"/>
      <c r="B342" s="64"/>
      <c r="C342" s="40"/>
      <c r="D342" s="40"/>
      <c r="E342" s="40"/>
      <c r="F342" s="54"/>
      <c r="G342" s="40"/>
      <c r="H342" s="44"/>
      <c r="I342" s="45"/>
    </row>
    <row r="343" spans="1:9" s="1" customFormat="1">
      <c r="A343" s="53"/>
      <c r="B343" s="64"/>
      <c r="C343" s="40"/>
      <c r="D343" s="40"/>
      <c r="E343" s="40"/>
      <c r="F343" s="54"/>
      <c r="G343" s="40"/>
      <c r="H343" s="44"/>
      <c r="I343" s="45"/>
    </row>
    <row r="344" spans="1:9" s="1" customFormat="1">
      <c r="A344" s="53"/>
      <c r="B344" s="64"/>
      <c r="C344" s="40"/>
      <c r="D344" s="40"/>
      <c r="E344" s="40"/>
      <c r="F344" s="54"/>
      <c r="G344" s="40"/>
      <c r="H344" s="44"/>
      <c r="I344" s="45"/>
    </row>
    <row r="345" spans="1:9" s="1" customFormat="1">
      <c r="A345" s="53"/>
      <c r="B345" s="64"/>
      <c r="C345" s="40"/>
      <c r="D345" s="40"/>
      <c r="E345" s="40"/>
      <c r="F345" s="54"/>
      <c r="G345" s="40"/>
      <c r="H345" s="44"/>
      <c r="I345" s="45"/>
    </row>
    <row r="346" spans="1:9" s="1" customFormat="1">
      <c r="A346" s="53"/>
      <c r="B346" s="64"/>
      <c r="C346" s="40"/>
      <c r="D346" s="40"/>
      <c r="E346" s="40"/>
      <c r="F346" s="54"/>
      <c r="G346" s="40"/>
      <c r="H346" s="44"/>
      <c r="I346" s="45"/>
    </row>
    <row r="347" spans="1:9" s="1" customFormat="1">
      <c r="A347" s="53"/>
      <c r="B347" s="64"/>
      <c r="C347" s="40"/>
      <c r="D347" s="40"/>
      <c r="E347" s="40"/>
      <c r="F347" s="54"/>
      <c r="G347" s="40"/>
      <c r="H347" s="44"/>
      <c r="I347" s="45"/>
    </row>
    <row r="348" spans="1:9" s="1" customFormat="1">
      <c r="A348" s="53"/>
      <c r="B348" s="64"/>
      <c r="C348" s="40"/>
      <c r="D348" s="40"/>
      <c r="E348" s="40"/>
      <c r="F348" s="54"/>
      <c r="G348" s="40"/>
      <c r="H348" s="44"/>
      <c r="I348" s="45"/>
    </row>
    <row r="349" spans="1:9" s="1" customFormat="1">
      <c r="A349" s="53"/>
      <c r="B349" s="64"/>
      <c r="C349" s="40"/>
      <c r="D349" s="40"/>
      <c r="E349" s="40"/>
      <c r="F349" s="54"/>
      <c r="G349" s="40"/>
      <c r="H349" s="44"/>
      <c r="I349" s="45"/>
    </row>
    <row r="350" spans="1:9" s="1" customFormat="1">
      <c r="A350" s="53"/>
      <c r="B350" s="64"/>
      <c r="C350" s="40"/>
      <c r="D350" s="40"/>
      <c r="E350" s="40"/>
      <c r="F350" s="54"/>
      <c r="G350" s="40"/>
      <c r="H350" s="44"/>
      <c r="I350" s="45"/>
    </row>
    <row r="351" spans="1:9" s="1" customFormat="1">
      <c r="A351" s="69"/>
      <c r="B351" s="46"/>
      <c r="C351" s="46"/>
      <c r="D351" s="46"/>
      <c r="E351" s="46"/>
      <c r="F351" s="46"/>
      <c r="G351" s="46"/>
      <c r="H351" s="46"/>
      <c r="I351" s="46"/>
    </row>
    <row r="352" spans="1:9" s="1" customFormat="1">
      <c r="A352"/>
      <c r="B352" s="40"/>
      <c r="C352" s="40"/>
      <c r="D352" s="40"/>
      <c r="E352" s="40"/>
      <c r="F352"/>
      <c r="G352"/>
      <c r="H352"/>
      <c r="I352"/>
    </row>
    <row r="353" spans="1:9" s="1" customFormat="1">
      <c r="A353"/>
      <c r="B353"/>
      <c r="C353" s="65"/>
      <c r="D353" s="65"/>
      <c r="E353" s="66"/>
      <c r="F353" s="67"/>
      <c r="G353" s="65"/>
      <c r="H353"/>
      <c r="I353" s="68"/>
    </row>
    <row r="354" spans="1:9" s="1" customFormat="1" ht="12"/>
    <row r="355" spans="1:9" s="1" customFormat="1" ht="20.25">
      <c r="A355" s="42"/>
      <c r="B355" s="41"/>
      <c r="G355" s="43"/>
      <c r="H355" s="43"/>
      <c r="I355" s="43"/>
    </row>
    <row r="356" spans="1:9" s="1" customFormat="1" ht="20.25">
      <c r="A356" s="43"/>
      <c r="B356" s="43"/>
      <c r="C356" s="43"/>
      <c r="D356" s="43"/>
      <c r="E356" s="43"/>
      <c r="F356" s="43"/>
      <c r="G356" s="43"/>
      <c r="H356" s="43"/>
      <c r="I356" s="43"/>
    </row>
    <row r="357" spans="1:9" s="1" customFormat="1" ht="20.25">
      <c r="A357" s="506"/>
      <c r="B357" s="563"/>
      <c r="C357" s="563"/>
      <c r="D357" s="147"/>
      <c r="E357" s="43"/>
      <c r="F357" s="43"/>
      <c r="G357" s="43"/>
      <c r="H357" s="43"/>
      <c r="I357" s="43"/>
    </row>
    <row r="358" spans="1:9" s="1" customFormat="1">
      <c r="A358" s="55"/>
      <c r="B358" s="55"/>
      <c r="C358" s="55"/>
      <c r="D358" s="55"/>
      <c r="E358" s="55"/>
      <c r="F358" s="55"/>
      <c r="G358" s="56"/>
      <c r="H358" s="56"/>
      <c r="I358" s="510"/>
    </row>
    <row r="359" spans="1:9" s="1" customFormat="1">
      <c r="A359" s="55"/>
      <c r="B359" s="55"/>
      <c r="C359" s="55"/>
      <c r="D359" s="55"/>
      <c r="E359" s="55"/>
      <c r="F359" s="55"/>
      <c r="G359" s="56"/>
      <c r="H359" s="56"/>
      <c r="I359" s="510"/>
    </row>
    <row r="360" spans="1:9" s="1" customFormat="1">
      <c r="A360"/>
      <c r="B360"/>
      <c r="C360"/>
      <c r="D360"/>
      <c r="E360"/>
      <c r="F360"/>
      <c r="G360"/>
      <c r="H360" s="40"/>
      <c r="I360"/>
    </row>
    <row r="361" spans="1:9" s="1" customFormat="1">
      <c r="A361"/>
      <c r="B361"/>
      <c r="C361"/>
      <c r="D361"/>
      <c r="E361"/>
      <c r="F361"/>
      <c r="G361" s="47"/>
      <c r="H361" s="57"/>
      <c r="I361" s="40"/>
    </row>
    <row r="362" spans="1:9" s="1" customFormat="1">
      <c r="A362"/>
      <c r="B362"/>
      <c r="C362"/>
      <c r="D362"/>
      <c r="E362"/>
      <c r="F362"/>
      <c r="G362" s="48"/>
      <c r="H362" s="57"/>
      <c r="I362" s="40"/>
    </row>
    <row r="363" spans="1:9" s="1" customFormat="1">
      <c r="A363"/>
      <c r="B363"/>
      <c r="C363"/>
      <c r="D363"/>
      <c r="E363"/>
      <c r="F363"/>
      <c r="G363" s="49"/>
      <c r="H363" s="57"/>
      <c r="I363" s="40"/>
    </row>
    <row r="364" spans="1:9" s="1" customFormat="1">
      <c r="A364"/>
      <c r="B364"/>
      <c r="C364"/>
      <c r="D364"/>
      <c r="E364"/>
      <c r="F364"/>
      <c r="G364" s="49"/>
      <c r="H364" s="57"/>
      <c r="I364" s="40"/>
    </row>
    <row r="365" spans="1:9" s="1" customFormat="1">
      <c r="A365"/>
      <c r="B365"/>
      <c r="C365"/>
      <c r="D365"/>
      <c r="E365"/>
      <c r="F365"/>
      <c r="G365" s="49"/>
      <c r="H365" s="57"/>
      <c r="I365" s="40"/>
    </row>
    <row r="366" spans="1:9" s="1" customFormat="1">
      <c r="A366"/>
      <c r="B366"/>
      <c r="C366"/>
      <c r="D366"/>
      <c r="E366"/>
      <c r="F366"/>
      <c r="G366" s="49"/>
      <c r="H366" s="57"/>
      <c r="I366" s="40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 s="55"/>
      <c r="B368" s="55"/>
      <c r="C368" s="55"/>
      <c r="D368" s="55"/>
      <c r="E368" s="55"/>
      <c r="F368" s="55"/>
      <c r="G368" s="509"/>
      <c r="H368" s="58"/>
      <c r="I368" s="58"/>
    </row>
    <row r="369" spans="1:9" s="1" customFormat="1">
      <c r="A369" s="55"/>
      <c r="B369" s="55"/>
      <c r="C369" s="55"/>
      <c r="D369" s="55"/>
      <c r="E369" s="55"/>
      <c r="F369" s="55"/>
      <c r="G369" s="509"/>
      <c r="H369" s="58"/>
      <c r="I369" s="58"/>
    </row>
    <row r="370" spans="1:9" s="1" customFormat="1">
      <c r="A370" s="50"/>
      <c r="B370"/>
      <c r="C370" s="51"/>
      <c r="D370" s="51"/>
      <c r="E370" s="51"/>
      <c r="F370"/>
      <c r="G370" s="51"/>
      <c r="H370" s="59"/>
      <c r="I370" s="40"/>
    </row>
    <row r="371" spans="1:9" s="1" customFormat="1">
      <c r="A371"/>
      <c r="B371"/>
      <c r="C371"/>
      <c r="D371"/>
      <c r="E371"/>
      <c r="F371"/>
      <c r="G371" s="40"/>
      <c r="H371" s="40"/>
      <c r="I371" s="57"/>
    </row>
    <row r="372" spans="1:9" s="1" customFormat="1">
      <c r="A372"/>
      <c r="B372"/>
      <c r="C372"/>
      <c r="D372"/>
      <c r="E372"/>
      <c r="F372"/>
      <c r="G372" s="57"/>
      <c r="H372" s="40"/>
      <c r="I372" s="40"/>
    </row>
    <row r="373" spans="1:9" s="1" customFormat="1">
      <c r="A373"/>
      <c r="B373"/>
      <c r="C373"/>
      <c r="D373"/>
      <c r="E373"/>
      <c r="F373"/>
      <c r="G373" s="38"/>
      <c r="H373" s="40"/>
      <c r="I373" s="40"/>
    </row>
    <row r="374" spans="1:9" s="1" customFormat="1">
      <c r="A374"/>
      <c r="B374"/>
      <c r="C374"/>
      <c r="D374"/>
      <c r="E374"/>
      <c r="F374"/>
      <c r="G374" s="60"/>
      <c r="H374" s="40"/>
      <c r="I374" s="40"/>
    </row>
    <row r="375" spans="1:9" s="1" customFormat="1">
      <c r="A375"/>
      <c r="B375"/>
      <c r="C375"/>
      <c r="D375"/>
      <c r="E375"/>
      <c r="F375" s="40"/>
      <c r="G375"/>
      <c r="H375"/>
      <c r="I375"/>
    </row>
    <row r="376" spans="1:9" s="1" customFormat="1">
      <c r="A376" s="52"/>
      <c r="B376"/>
      <c r="C376"/>
      <c r="D376"/>
      <c r="E376"/>
      <c r="F376" s="40"/>
      <c r="G376"/>
      <c r="H376"/>
      <c r="I376"/>
    </row>
    <row r="377" spans="1:9" s="1" customFormat="1">
      <c r="A377"/>
      <c r="B377" s="61"/>
      <c r="C377"/>
      <c r="D377"/>
      <c r="E377"/>
      <c r="F377"/>
      <c r="G377"/>
      <c r="H377"/>
      <c r="I377"/>
    </row>
    <row r="378" spans="1:9" s="1" customFormat="1">
      <c r="A378" s="507"/>
      <c r="B378" s="62"/>
      <c r="C378" s="62"/>
      <c r="D378" s="62"/>
      <c r="E378" s="507"/>
      <c r="F378" s="507"/>
      <c r="G378" s="507"/>
      <c r="H378" s="507"/>
      <c r="I378" s="507"/>
    </row>
    <row r="379" spans="1:9" s="1" customFormat="1">
      <c r="A379" s="507"/>
      <c r="B379" s="62"/>
      <c r="C379" s="62"/>
      <c r="D379" s="62"/>
      <c r="E379" s="62"/>
      <c r="F379" s="62"/>
      <c r="G379" s="508"/>
      <c r="H379" s="508"/>
      <c r="I379" s="508"/>
    </row>
    <row r="380" spans="1:9" s="1" customFormat="1">
      <c r="A380" s="53"/>
      <c r="B380" s="63"/>
      <c r="C380" s="40"/>
      <c r="D380" s="40"/>
      <c r="E380" s="40"/>
      <c r="F380" s="54"/>
      <c r="G380" s="40"/>
      <c r="H380" s="40"/>
      <c r="I380" s="45"/>
    </row>
    <row r="381" spans="1:9" s="1" customFormat="1">
      <c r="A381" s="53"/>
      <c r="B381" s="63"/>
      <c r="C381" s="40"/>
      <c r="D381" s="40"/>
      <c r="E381" s="40"/>
      <c r="F381" s="54"/>
      <c r="G381" s="40"/>
      <c r="H381" s="44"/>
      <c r="I381" s="45"/>
    </row>
    <row r="382" spans="1:9" s="1" customFormat="1">
      <c r="A382" s="53"/>
      <c r="B382" s="63"/>
      <c r="C382" s="40"/>
      <c r="D382" s="40"/>
      <c r="E382" s="40"/>
      <c r="F382" s="54"/>
      <c r="G382" s="40"/>
      <c r="H382" s="44"/>
      <c r="I382"/>
    </row>
    <row r="383" spans="1:9" s="1" customFormat="1">
      <c r="A383" s="53"/>
      <c r="B383" s="63"/>
      <c r="C383" s="40"/>
      <c r="D383" s="40"/>
      <c r="E383" s="40"/>
      <c r="F383" s="54"/>
      <c r="G383" s="40"/>
      <c r="H383" s="44"/>
      <c r="I383" s="45"/>
    </row>
    <row r="384" spans="1:9" s="1" customFormat="1">
      <c r="A384" s="53"/>
      <c r="B384" s="64"/>
      <c r="C384" s="40"/>
      <c r="D384" s="40"/>
      <c r="E384" s="40"/>
      <c r="F384" s="54"/>
      <c r="G384" s="40"/>
      <c r="H384" s="44"/>
      <c r="I384" s="45"/>
    </row>
    <row r="385" spans="1:9" s="1" customFormat="1">
      <c r="A385" s="53"/>
      <c r="B385" s="64"/>
      <c r="C385" s="40"/>
      <c r="D385" s="40"/>
      <c r="E385" s="40"/>
      <c r="F385" s="54"/>
      <c r="G385" s="40"/>
      <c r="H385" s="44"/>
      <c r="I385" s="45"/>
    </row>
    <row r="386" spans="1:9" s="1" customFormat="1">
      <c r="A386" s="53"/>
      <c r="B386" s="64"/>
      <c r="C386" s="40"/>
      <c r="D386" s="40"/>
      <c r="E386" s="40"/>
      <c r="F386" s="54"/>
      <c r="G386" s="40"/>
      <c r="H386" s="44"/>
      <c r="I386" s="45"/>
    </row>
    <row r="387" spans="1:9" s="1" customFormat="1">
      <c r="A387" s="53"/>
      <c r="B387" s="64"/>
      <c r="C387" s="40"/>
      <c r="D387" s="40"/>
      <c r="E387" s="40"/>
      <c r="F387" s="54"/>
      <c r="G387" s="40"/>
      <c r="H387" s="44"/>
      <c r="I387" s="45"/>
    </row>
    <row r="388" spans="1:9" s="1" customFormat="1">
      <c r="A388" s="53"/>
      <c r="B388" s="64"/>
      <c r="C388" s="40"/>
      <c r="D388" s="40"/>
      <c r="E388" s="40"/>
      <c r="F388" s="54"/>
      <c r="G388" s="40"/>
      <c r="H388" s="44"/>
      <c r="I388" s="45"/>
    </row>
    <row r="389" spans="1:9" s="1" customFormat="1">
      <c r="A389" s="53"/>
      <c r="B389" s="64"/>
      <c r="C389" s="40"/>
      <c r="D389" s="40"/>
      <c r="E389" s="40"/>
      <c r="F389" s="54"/>
      <c r="G389" s="40"/>
      <c r="H389" s="44"/>
      <c r="I389" s="45"/>
    </row>
    <row r="390" spans="1:9" s="1" customFormat="1">
      <c r="A390" s="53"/>
      <c r="B390" s="64"/>
      <c r="C390" s="40"/>
      <c r="D390" s="40"/>
      <c r="E390" s="40"/>
      <c r="F390" s="54"/>
      <c r="G390" s="40"/>
      <c r="H390" s="44"/>
      <c r="I390" s="45"/>
    </row>
    <row r="391" spans="1:9" s="1" customFormat="1">
      <c r="A391" s="53"/>
      <c r="B391" s="64"/>
      <c r="C391" s="40"/>
      <c r="D391" s="40"/>
      <c r="E391" s="40"/>
      <c r="F391" s="54"/>
      <c r="G391" s="40"/>
      <c r="H391" s="44"/>
      <c r="I391" s="45"/>
    </row>
    <row r="392" spans="1:9" s="1" customFormat="1">
      <c r="A392" s="53"/>
      <c r="B392" s="64"/>
      <c r="C392" s="40"/>
      <c r="D392" s="40"/>
      <c r="E392" s="40"/>
      <c r="F392" s="54"/>
      <c r="G392" s="40"/>
      <c r="H392" s="44"/>
      <c r="I392" s="45"/>
    </row>
    <row r="393" spans="1:9" s="1" customFormat="1">
      <c r="A393" s="53"/>
      <c r="B393" s="64"/>
      <c r="C393" s="40"/>
      <c r="D393" s="40"/>
      <c r="E393" s="40"/>
      <c r="F393" s="54"/>
      <c r="G393" s="40"/>
      <c r="H393" s="44"/>
      <c r="I393" s="45"/>
    </row>
    <row r="394" spans="1:9" s="1" customFormat="1">
      <c r="A394" s="53"/>
      <c r="B394" s="64"/>
      <c r="C394" s="40"/>
      <c r="D394" s="40"/>
      <c r="E394" s="40"/>
      <c r="F394" s="54"/>
      <c r="G394" s="40"/>
      <c r="H394" s="44"/>
      <c r="I394" s="45"/>
    </row>
    <row r="395" spans="1:9" s="1" customFormat="1">
      <c r="A395" s="53"/>
      <c r="B395" s="64"/>
      <c r="C395" s="40"/>
      <c r="D395" s="40"/>
      <c r="E395" s="40"/>
      <c r="F395" s="54"/>
      <c r="G395" s="40"/>
      <c r="H395" s="44"/>
      <c r="I395" s="45"/>
    </row>
    <row r="396" spans="1:9" s="1" customFormat="1">
      <c r="A396" s="53"/>
      <c r="B396" s="64"/>
      <c r="C396" s="40"/>
      <c r="D396" s="40"/>
      <c r="E396" s="40"/>
      <c r="F396" s="54"/>
      <c r="G396" s="40"/>
      <c r="H396" s="44"/>
      <c r="I396" s="45"/>
    </row>
    <row r="397" spans="1:9" s="1" customFormat="1">
      <c r="A397" s="53"/>
      <c r="B397" s="64"/>
      <c r="C397" s="40"/>
      <c r="D397" s="40"/>
      <c r="E397" s="40"/>
      <c r="F397" s="54"/>
      <c r="G397" s="40"/>
      <c r="H397" s="44"/>
      <c r="I397" s="45"/>
    </row>
    <row r="398" spans="1:9" s="1" customFormat="1">
      <c r="A398" s="53"/>
      <c r="B398" s="64"/>
      <c r="C398" s="40"/>
      <c r="D398" s="40"/>
      <c r="E398" s="40"/>
      <c r="F398" s="54"/>
      <c r="G398" s="40"/>
      <c r="H398" s="44"/>
      <c r="I398" s="45"/>
    </row>
    <row r="399" spans="1:9" s="1" customFormat="1">
      <c r="A399" s="53"/>
      <c r="B399" s="64"/>
      <c r="C399" s="40"/>
      <c r="D399" s="40"/>
      <c r="E399" s="40"/>
      <c r="F399" s="54"/>
      <c r="G399" s="40"/>
      <c r="H399" s="44"/>
      <c r="I399" s="45"/>
    </row>
    <row r="400" spans="1:9" s="1" customFormat="1">
      <c r="A400" s="53"/>
      <c r="B400" s="64"/>
      <c r="C400" s="40"/>
      <c r="D400" s="40"/>
      <c r="E400" s="40"/>
      <c r="F400" s="54"/>
      <c r="G400" s="40"/>
      <c r="H400" s="44"/>
      <c r="I400" s="45"/>
    </row>
    <row r="401" spans="1:9" s="1" customFormat="1">
      <c r="A401" s="53"/>
      <c r="B401" s="64"/>
      <c r="C401" s="40"/>
      <c r="D401" s="40"/>
      <c r="E401" s="40"/>
      <c r="F401" s="54"/>
      <c r="G401" s="40"/>
      <c r="H401" s="44"/>
      <c r="I401" s="45"/>
    </row>
    <row r="402" spans="1:9" s="1" customFormat="1">
      <c r="A402" s="53"/>
      <c r="B402" s="64"/>
      <c r="C402" s="40"/>
      <c r="D402" s="40"/>
      <c r="E402" s="40"/>
      <c r="F402" s="54"/>
      <c r="G402" s="40"/>
      <c r="H402" s="44"/>
      <c r="I402" s="45"/>
    </row>
    <row r="403" spans="1:9" s="1" customFormat="1">
      <c r="A403" s="53"/>
      <c r="B403" s="64"/>
      <c r="C403" s="40"/>
      <c r="D403" s="40"/>
      <c r="E403" s="40"/>
      <c r="F403" s="54"/>
      <c r="G403" s="40"/>
      <c r="H403" s="44"/>
      <c r="I403" s="45"/>
    </row>
    <row r="404" spans="1:9" s="1" customFormat="1">
      <c r="A404" s="53"/>
      <c r="B404" s="64"/>
      <c r="C404" s="40"/>
      <c r="D404" s="40"/>
      <c r="E404" s="40"/>
      <c r="F404" s="54"/>
      <c r="G404" s="40"/>
      <c r="H404" s="44"/>
      <c r="I404" s="45"/>
    </row>
    <row r="405" spans="1:9" s="1" customFormat="1">
      <c r="A405" s="69"/>
      <c r="B405" s="46"/>
      <c r="C405" s="46"/>
      <c r="D405" s="46"/>
      <c r="E405" s="46"/>
      <c r="F405" s="46"/>
      <c r="G405" s="46"/>
      <c r="H405" s="46"/>
      <c r="I405" s="46"/>
    </row>
    <row r="406" spans="1:9" s="1" customFormat="1">
      <c r="A406"/>
      <c r="B406" s="40"/>
      <c r="C406" s="40"/>
      <c r="D406" s="40"/>
      <c r="E406" s="40"/>
      <c r="F406"/>
      <c r="G406"/>
      <c r="H406"/>
      <c r="I406"/>
    </row>
    <row r="407" spans="1:9" s="1" customFormat="1">
      <c r="A407"/>
      <c r="B407"/>
      <c r="C407" s="65"/>
      <c r="D407" s="65"/>
      <c r="E407" s="66"/>
      <c r="F407" s="67"/>
      <c r="G407" s="65"/>
      <c r="H407"/>
      <c r="I407" s="68"/>
    </row>
    <row r="408" spans="1:9" s="1" customFormat="1" ht="12"/>
    <row r="409" spans="1:9" s="1" customFormat="1" ht="20.25">
      <c r="A409" s="42"/>
      <c r="B409" s="41"/>
      <c r="G409" s="43"/>
      <c r="H409" s="43"/>
      <c r="I409" s="43"/>
    </row>
    <row r="410" spans="1:9" s="1" customFormat="1" ht="20.25">
      <c r="A410" s="43"/>
      <c r="B410" s="43"/>
      <c r="C410" s="43"/>
      <c r="D410" s="43"/>
      <c r="E410" s="43"/>
      <c r="F410" s="43"/>
      <c r="G410" s="43"/>
      <c r="H410" s="43"/>
      <c r="I410" s="43"/>
    </row>
    <row r="411" spans="1:9" s="1" customFormat="1" ht="20.25">
      <c r="A411" s="506"/>
      <c r="B411" s="563"/>
      <c r="C411" s="563"/>
      <c r="D411" s="147"/>
      <c r="E411" s="43"/>
      <c r="F411" s="43"/>
      <c r="G411" s="43"/>
      <c r="H411" s="43"/>
      <c r="I411" s="43"/>
    </row>
    <row r="412" spans="1:9" s="1" customFormat="1">
      <c r="A412" s="55"/>
      <c r="B412" s="55"/>
      <c r="C412" s="55"/>
      <c r="D412" s="55"/>
      <c r="E412" s="55"/>
      <c r="F412" s="55"/>
      <c r="G412" s="56"/>
      <c r="H412" s="56"/>
      <c r="I412" s="510"/>
    </row>
    <row r="413" spans="1:9" s="1" customFormat="1">
      <c r="A413" s="55"/>
      <c r="B413" s="55"/>
      <c r="C413" s="55"/>
      <c r="D413" s="55"/>
      <c r="E413" s="55"/>
      <c r="F413" s="55"/>
      <c r="G413" s="56"/>
      <c r="H413" s="56"/>
      <c r="I413" s="510"/>
    </row>
    <row r="414" spans="1:9" s="1" customFormat="1">
      <c r="A414"/>
      <c r="B414"/>
      <c r="C414"/>
      <c r="D414"/>
      <c r="E414"/>
      <c r="F414"/>
      <c r="G414"/>
      <c r="H414" s="40"/>
      <c r="I414"/>
    </row>
    <row r="415" spans="1:9" s="1" customFormat="1">
      <c r="A415"/>
      <c r="B415"/>
      <c r="C415"/>
      <c r="D415"/>
      <c r="E415"/>
      <c r="F415"/>
      <c r="G415" s="47"/>
      <c r="H415" s="57"/>
      <c r="I415" s="40"/>
    </row>
    <row r="416" spans="1:9" s="1" customFormat="1">
      <c r="A416"/>
      <c r="B416"/>
      <c r="C416"/>
      <c r="D416"/>
      <c r="E416"/>
      <c r="F416"/>
      <c r="G416" s="48"/>
      <c r="H416" s="57"/>
      <c r="I416" s="40"/>
    </row>
    <row r="417" spans="1:9" s="1" customFormat="1">
      <c r="A417"/>
      <c r="B417"/>
      <c r="C417"/>
      <c r="D417"/>
      <c r="E417"/>
      <c r="F417"/>
      <c r="G417" s="49"/>
      <c r="H417" s="57"/>
      <c r="I417" s="40"/>
    </row>
    <row r="418" spans="1:9" s="1" customFormat="1">
      <c r="A418"/>
      <c r="B418"/>
      <c r="C418"/>
      <c r="D418"/>
      <c r="E418"/>
      <c r="F418"/>
      <c r="G418" s="49"/>
      <c r="H418" s="57"/>
      <c r="I418" s="40"/>
    </row>
    <row r="419" spans="1:9" s="1" customFormat="1">
      <c r="A419"/>
      <c r="B419"/>
      <c r="C419"/>
      <c r="D419"/>
      <c r="E419"/>
      <c r="F419"/>
      <c r="G419" s="49"/>
      <c r="H419" s="57"/>
      <c r="I419" s="40"/>
    </row>
    <row r="420" spans="1:9" s="1" customFormat="1">
      <c r="A420"/>
      <c r="B420"/>
      <c r="C420"/>
      <c r="D420"/>
      <c r="E420"/>
      <c r="F420"/>
      <c r="G420" s="49"/>
      <c r="H420" s="57"/>
      <c r="I420" s="4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 s="55"/>
      <c r="B422" s="55"/>
      <c r="C422" s="55"/>
      <c r="D422" s="55"/>
      <c r="E422" s="55"/>
      <c r="F422" s="55"/>
      <c r="G422" s="509"/>
      <c r="H422" s="58"/>
      <c r="I422" s="58"/>
    </row>
    <row r="423" spans="1:9" s="1" customFormat="1">
      <c r="A423" s="55"/>
      <c r="B423" s="55"/>
      <c r="C423" s="55"/>
      <c r="D423" s="55"/>
      <c r="E423" s="55"/>
      <c r="F423" s="55"/>
      <c r="G423" s="509"/>
      <c r="H423" s="58"/>
      <c r="I423" s="58"/>
    </row>
    <row r="424" spans="1:9" s="1" customFormat="1">
      <c r="A424" s="50"/>
      <c r="B424"/>
      <c r="C424" s="51"/>
      <c r="D424" s="51"/>
      <c r="E424" s="51"/>
      <c r="F424"/>
      <c r="G424" s="51"/>
      <c r="H424" s="59"/>
      <c r="I424" s="40"/>
    </row>
    <row r="425" spans="1:9" s="1" customFormat="1">
      <c r="A425"/>
      <c r="B425"/>
      <c r="C425"/>
      <c r="D425"/>
      <c r="E425"/>
      <c r="F425"/>
      <c r="G425" s="40"/>
      <c r="H425" s="40"/>
      <c r="I425" s="57"/>
    </row>
    <row r="426" spans="1:9" s="1" customFormat="1">
      <c r="A426"/>
      <c r="B426"/>
      <c r="C426"/>
      <c r="D426"/>
      <c r="E426"/>
      <c r="F426"/>
      <c r="G426" s="57"/>
      <c r="H426" s="40"/>
      <c r="I426" s="40"/>
    </row>
    <row r="427" spans="1:9" s="1" customFormat="1">
      <c r="A427"/>
      <c r="B427"/>
      <c r="C427"/>
      <c r="D427"/>
      <c r="E427"/>
      <c r="F427"/>
      <c r="G427" s="38"/>
      <c r="H427" s="40"/>
      <c r="I427" s="40"/>
    </row>
    <row r="428" spans="1:9" s="1" customFormat="1">
      <c r="A428"/>
      <c r="B428"/>
      <c r="C428"/>
      <c r="D428"/>
      <c r="E428"/>
      <c r="F428"/>
      <c r="G428" s="60"/>
      <c r="H428" s="40"/>
      <c r="I428" s="40"/>
    </row>
    <row r="429" spans="1:9" s="1" customFormat="1">
      <c r="A429"/>
      <c r="B429"/>
      <c r="C429"/>
      <c r="D429"/>
      <c r="E429"/>
      <c r="F429" s="40"/>
      <c r="G429"/>
      <c r="H429"/>
      <c r="I429"/>
    </row>
    <row r="430" spans="1:9" s="1" customFormat="1">
      <c r="A430" s="52"/>
      <c r="B430"/>
      <c r="C430"/>
      <c r="D430"/>
      <c r="E430"/>
      <c r="F430" s="40"/>
      <c r="G430"/>
      <c r="H430"/>
      <c r="I430"/>
    </row>
    <row r="431" spans="1:9" s="1" customFormat="1">
      <c r="A431"/>
      <c r="B431" s="61"/>
      <c r="C431"/>
      <c r="D431"/>
      <c r="E431"/>
      <c r="F431"/>
      <c r="G431"/>
      <c r="H431"/>
      <c r="I431"/>
    </row>
    <row r="432" spans="1:9" s="1" customFormat="1">
      <c r="A432" s="507"/>
      <c r="B432" s="62"/>
      <c r="C432" s="62"/>
      <c r="D432" s="62"/>
      <c r="E432" s="507"/>
      <c r="F432" s="507"/>
      <c r="G432" s="507"/>
      <c r="H432" s="507"/>
      <c r="I432" s="507"/>
    </row>
    <row r="433" spans="1:9" s="1" customFormat="1">
      <c r="A433" s="507"/>
      <c r="B433" s="62"/>
      <c r="C433" s="62"/>
      <c r="D433" s="62"/>
      <c r="E433" s="62"/>
      <c r="F433" s="62"/>
      <c r="G433" s="508"/>
      <c r="H433" s="508"/>
      <c r="I433" s="508"/>
    </row>
    <row r="434" spans="1:9" s="1" customFormat="1">
      <c r="A434" s="53"/>
      <c r="B434" s="63"/>
      <c r="C434" s="40"/>
      <c r="D434" s="40"/>
      <c r="E434" s="40"/>
      <c r="F434" s="54"/>
      <c r="G434" s="40"/>
      <c r="H434" s="40"/>
      <c r="I434" s="45"/>
    </row>
    <row r="435" spans="1:9" s="1" customFormat="1">
      <c r="A435" s="53"/>
      <c r="B435" s="63"/>
      <c r="C435" s="40"/>
      <c r="D435" s="40"/>
      <c r="E435" s="40"/>
      <c r="F435" s="54"/>
      <c r="G435" s="40"/>
      <c r="H435" s="44"/>
      <c r="I435" s="45"/>
    </row>
    <row r="436" spans="1:9" s="1" customFormat="1">
      <c r="A436" s="53"/>
      <c r="B436" s="63"/>
      <c r="C436" s="40"/>
      <c r="D436" s="40"/>
      <c r="E436" s="40"/>
      <c r="F436" s="54"/>
      <c r="G436" s="40"/>
      <c r="H436" s="44"/>
      <c r="I436"/>
    </row>
    <row r="437" spans="1:9" s="1" customFormat="1">
      <c r="A437" s="53"/>
      <c r="B437" s="63"/>
      <c r="C437" s="40"/>
      <c r="D437" s="40"/>
      <c r="E437" s="40"/>
      <c r="F437" s="54"/>
      <c r="G437" s="40"/>
      <c r="H437" s="44"/>
      <c r="I437" s="45"/>
    </row>
    <row r="438" spans="1:9" s="1" customFormat="1">
      <c r="A438" s="53"/>
      <c r="B438" s="64"/>
      <c r="C438" s="40"/>
      <c r="D438" s="40"/>
      <c r="E438" s="40"/>
      <c r="F438" s="54"/>
      <c r="G438" s="40"/>
      <c r="H438" s="44"/>
      <c r="I438" s="45"/>
    </row>
    <row r="439" spans="1:9" s="1" customFormat="1">
      <c r="A439" s="53"/>
      <c r="B439" s="64"/>
      <c r="C439" s="40"/>
      <c r="D439" s="40"/>
      <c r="E439" s="40"/>
      <c r="F439" s="54"/>
      <c r="G439" s="40"/>
      <c r="H439" s="44"/>
      <c r="I439" s="45"/>
    </row>
    <row r="440" spans="1:9" s="1" customFormat="1">
      <c r="A440" s="53"/>
      <c r="B440" s="64"/>
      <c r="C440" s="40"/>
      <c r="D440" s="40"/>
      <c r="E440" s="40"/>
      <c r="F440" s="54"/>
      <c r="G440" s="40"/>
      <c r="H440" s="44"/>
      <c r="I440" s="45"/>
    </row>
    <row r="441" spans="1:9" s="1" customFormat="1">
      <c r="A441" s="53"/>
      <c r="B441" s="64"/>
      <c r="C441" s="40"/>
      <c r="D441" s="40"/>
      <c r="E441" s="40"/>
      <c r="F441" s="54"/>
      <c r="G441" s="40"/>
      <c r="H441" s="44"/>
      <c r="I441" s="45"/>
    </row>
    <row r="442" spans="1:9" s="1" customFormat="1">
      <c r="A442" s="53"/>
      <c r="B442" s="64"/>
      <c r="C442" s="40"/>
      <c r="D442" s="40"/>
      <c r="E442" s="40"/>
      <c r="F442" s="54"/>
      <c r="G442" s="40"/>
      <c r="H442" s="44"/>
      <c r="I442" s="45"/>
    </row>
    <row r="443" spans="1:9" s="1" customFormat="1">
      <c r="A443" s="53"/>
      <c r="B443" s="64"/>
      <c r="C443" s="40"/>
      <c r="D443" s="40"/>
      <c r="E443" s="40"/>
      <c r="F443" s="54"/>
      <c r="G443" s="40"/>
      <c r="H443" s="44"/>
      <c r="I443" s="45"/>
    </row>
    <row r="444" spans="1:9" s="1" customFormat="1">
      <c r="A444" s="53"/>
      <c r="B444" s="64"/>
      <c r="C444" s="40"/>
      <c r="D444" s="40"/>
      <c r="E444" s="40"/>
      <c r="F444" s="54"/>
      <c r="G444" s="40"/>
      <c r="H444" s="44"/>
      <c r="I444" s="45"/>
    </row>
    <row r="445" spans="1:9" s="1" customFormat="1">
      <c r="A445" s="53"/>
      <c r="B445" s="64"/>
      <c r="C445" s="40"/>
      <c r="D445" s="40"/>
      <c r="E445" s="40"/>
      <c r="F445" s="54"/>
      <c r="G445" s="40"/>
      <c r="H445" s="44"/>
      <c r="I445" s="45"/>
    </row>
    <row r="446" spans="1:9" s="1" customFormat="1">
      <c r="A446" s="53"/>
      <c r="B446" s="64"/>
      <c r="C446" s="40"/>
      <c r="D446" s="40"/>
      <c r="E446" s="40"/>
      <c r="F446" s="54"/>
      <c r="G446" s="40"/>
      <c r="H446" s="44"/>
      <c r="I446" s="45"/>
    </row>
    <row r="447" spans="1:9" s="1" customFormat="1">
      <c r="A447" s="53"/>
      <c r="B447" s="64"/>
      <c r="C447" s="40"/>
      <c r="D447" s="40"/>
      <c r="E447" s="40"/>
      <c r="F447" s="54"/>
      <c r="G447" s="40"/>
      <c r="H447" s="44"/>
      <c r="I447" s="45"/>
    </row>
    <row r="448" spans="1:9" s="1" customFormat="1">
      <c r="A448" s="53"/>
      <c r="B448" s="64"/>
      <c r="C448" s="40"/>
      <c r="D448" s="40"/>
      <c r="E448" s="40"/>
      <c r="F448" s="54"/>
      <c r="G448" s="40"/>
      <c r="H448" s="44"/>
      <c r="I448" s="45"/>
    </row>
    <row r="449" spans="1:9" s="1" customFormat="1">
      <c r="A449" s="53"/>
      <c r="B449" s="64"/>
      <c r="C449" s="40"/>
      <c r="D449" s="40"/>
      <c r="E449" s="40"/>
      <c r="F449" s="54"/>
      <c r="G449" s="40"/>
      <c r="H449" s="44"/>
      <c r="I449" s="45"/>
    </row>
    <row r="450" spans="1:9" s="1" customFormat="1">
      <c r="A450" s="53"/>
      <c r="B450" s="64"/>
      <c r="C450" s="40"/>
      <c r="D450" s="40"/>
      <c r="E450" s="40"/>
      <c r="F450" s="54"/>
      <c r="G450" s="40"/>
      <c r="H450" s="44"/>
      <c r="I450" s="45"/>
    </row>
    <row r="451" spans="1:9" s="1" customFormat="1">
      <c r="A451" s="53"/>
      <c r="B451" s="64"/>
      <c r="C451" s="40"/>
      <c r="D451" s="40"/>
      <c r="E451" s="40"/>
      <c r="F451" s="54"/>
      <c r="G451" s="40"/>
      <c r="H451" s="44"/>
      <c r="I451" s="45"/>
    </row>
    <row r="452" spans="1:9" s="1" customFormat="1">
      <c r="A452" s="53"/>
      <c r="B452" s="64"/>
      <c r="C452" s="40"/>
      <c r="D452" s="40"/>
      <c r="E452" s="40"/>
      <c r="F452" s="54"/>
      <c r="G452" s="40"/>
      <c r="H452" s="44"/>
      <c r="I452" s="45"/>
    </row>
    <row r="453" spans="1:9" s="1" customFormat="1">
      <c r="A453" s="53"/>
      <c r="B453" s="64"/>
      <c r="C453" s="40"/>
      <c r="D453" s="40"/>
      <c r="E453" s="40"/>
      <c r="F453" s="54"/>
      <c r="G453" s="40"/>
      <c r="H453" s="44"/>
      <c r="I453" s="45"/>
    </row>
    <row r="454" spans="1:9" s="1" customFormat="1">
      <c r="A454" s="53"/>
      <c r="B454" s="64"/>
      <c r="C454" s="40"/>
      <c r="D454" s="40"/>
      <c r="E454" s="40"/>
      <c r="F454" s="54"/>
      <c r="G454" s="40"/>
      <c r="H454" s="44"/>
      <c r="I454" s="45"/>
    </row>
    <row r="455" spans="1:9" s="1" customFormat="1">
      <c r="A455" s="53"/>
      <c r="B455" s="64"/>
      <c r="C455" s="40"/>
      <c r="D455" s="40"/>
      <c r="E455" s="40"/>
      <c r="F455" s="54"/>
      <c r="G455" s="40"/>
      <c r="H455" s="44"/>
      <c r="I455" s="45"/>
    </row>
    <row r="456" spans="1:9" s="1" customFormat="1">
      <c r="A456" s="53"/>
      <c r="B456" s="64"/>
      <c r="C456" s="40"/>
      <c r="D456" s="40"/>
      <c r="E456" s="40"/>
      <c r="F456" s="54"/>
      <c r="G456" s="40"/>
      <c r="H456" s="44"/>
      <c r="I456" s="45"/>
    </row>
    <row r="457" spans="1:9" s="1" customFormat="1">
      <c r="A457" s="53"/>
      <c r="B457" s="64"/>
      <c r="C457" s="40"/>
      <c r="D457" s="40"/>
      <c r="E457" s="40"/>
      <c r="F457" s="54"/>
      <c r="G457" s="40"/>
      <c r="H457" s="44"/>
      <c r="I457" s="45"/>
    </row>
    <row r="458" spans="1:9" s="1" customFormat="1">
      <c r="A458" s="53"/>
      <c r="B458" s="64"/>
      <c r="C458" s="40"/>
      <c r="D458" s="40"/>
      <c r="E458" s="40"/>
      <c r="F458" s="54"/>
      <c r="G458" s="40"/>
      <c r="H458" s="44"/>
      <c r="I458" s="45"/>
    </row>
    <row r="459" spans="1:9" s="1" customFormat="1">
      <c r="A459" s="69"/>
      <c r="B459" s="46"/>
      <c r="C459" s="46"/>
      <c r="D459" s="46"/>
      <c r="E459" s="46"/>
      <c r="F459" s="46"/>
      <c r="G459" s="46"/>
      <c r="H459" s="46"/>
      <c r="I459" s="46"/>
    </row>
    <row r="460" spans="1:9" s="1" customFormat="1">
      <c r="A460"/>
      <c r="B460" s="40"/>
      <c r="C460" s="40"/>
      <c r="D460" s="40"/>
      <c r="E460" s="40"/>
      <c r="F460"/>
      <c r="G460"/>
      <c r="H460"/>
      <c r="I460"/>
    </row>
    <row r="461" spans="1:9" s="1" customFormat="1">
      <c r="A461"/>
      <c r="B461"/>
      <c r="C461" s="65"/>
      <c r="D461" s="65"/>
      <c r="E461" s="66"/>
      <c r="F461" s="67"/>
      <c r="G461" s="65"/>
      <c r="H461"/>
      <c r="I461" s="68"/>
    </row>
    <row r="462" spans="1:9" s="1" customFormat="1" ht="12"/>
    <row r="463" spans="1:9" s="1" customFormat="1" ht="20.25">
      <c r="A463" s="42"/>
      <c r="B463" s="41"/>
      <c r="G463" s="43"/>
      <c r="H463" s="43"/>
      <c r="I463" s="43"/>
    </row>
    <row r="464" spans="1:9" s="1" customFormat="1" ht="20.25">
      <c r="A464" s="43"/>
      <c r="B464" s="43"/>
      <c r="C464" s="43"/>
      <c r="D464" s="43"/>
      <c r="E464" s="43"/>
      <c r="F464" s="43"/>
      <c r="G464" s="43"/>
      <c r="H464" s="43"/>
      <c r="I464" s="43"/>
    </row>
    <row r="465" spans="1:9" s="1" customFormat="1" ht="29.25" customHeight="1">
      <c r="A465" s="506"/>
      <c r="B465" s="563"/>
      <c r="C465" s="563"/>
      <c r="D465" s="147"/>
      <c r="E465" s="43"/>
      <c r="F465" s="43"/>
      <c r="G465" s="43"/>
      <c r="H465" s="43"/>
      <c r="I465" s="43"/>
    </row>
    <row r="466" spans="1:9" s="1" customFormat="1">
      <c r="A466" s="55"/>
      <c r="B466" s="55"/>
      <c r="C466" s="55"/>
      <c r="D466" s="55"/>
      <c r="E466" s="55"/>
      <c r="F466" s="55"/>
      <c r="G466" s="56"/>
      <c r="H466" s="56"/>
      <c r="I466" s="510"/>
    </row>
    <row r="467" spans="1:9" s="1" customFormat="1">
      <c r="A467" s="55"/>
      <c r="B467" s="55"/>
      <c r="C467" s="55"/>
      <c r="D467" s="55"/>
      <c r="E467" s="55"/>
      <c r="F467" s="55"/>
      <c r="G467" s="56"/>
      <c r="H467" s="56"/>
      <c r="I467" s="510"/>
    </row>
    <row r="468" spans="1:9" s="1" customFormat="1">
      <c r="A468"/>
      <c r="B468"/>
      <c r="C468"/>
      <c r="D468"/>
      <c r="E468"/>
      <c r="F468"/>
      <c r="G468"/>
      <c r="H468" s="40"/>
      <c r="I468"/>
    </row>
    <row r="469" spans="1:9" s="1" customFormat="1">
      <c r="A469"/>
      <c r="B469"/>
      <c r="C469"/>
      <c r="D469"/>
      <c r="E469"/>
      <c r="F469"/>
      <c r="G469" s="48"/>
      <c r="H469" s="57"/>
      <c r="I469" s="40"/>
    </row>
    <row r="470" spans="1:9" s="1" customFormat="1">
      <c r="A470"/>
      <c r="B470"/>
      <c r="C470"/>
      <c r="D470"/>
      <c r="E470"/>
      <c r="F470"/>
      <c r="G470" s="48"/>
      <c r="H470" s="57"/>
      <c r="I470" s="40"/>
    </row>
    <row r="471" spans="1:9" s="1" customFormat="1">
      <c r="A471"/>
      <c r="B471"/>
      <c r="C471"/>
      <c r="D471"/>
      <c r="E471"/>
      <c r="F471"/>
      <c r="G471" s="49"/>
      <c r="H471" s="57"/>
      <c r="I471" s="40"/>
    </row>
    <row r="472" spans="1:9" s="1" customFormat="1">
      <c r="A472"/>
      <c r="B472"/>
      <c r="C472"/>
      <c r="D472"/>
      <c r="E472"/>
      <c r="F472"/>
      <c r="G472" s="49"/>
      <c r="H472" s="57"/>
      <c r="I472" s="40"/>
    </row>
    <row r="473" spans="1:9" s="1" customFormat="1">
      <c r="A473"/>
      <c r="B473"/>
      <c r="C473"/>
      <c r="D473"/>
      <c r="E473"/>
      <c r="F473"/>
      <c r="G473" s="49"/>
      <c r="H473" s="57"/>
      <c r="I473" s="40"/>
    </row>
    <row r="474" spans="1:9" s="1" customFormat="1">
      <c r="A474"/>
      <c r="B474"/>
      <c r="C474"/>
      <c r="D474"/>
      <c r="E474"/>
      <c r="F474"/>
      <c r="G474" s="49"/>
      <c r="H474" s="57"/>
      <c r="I474" s="40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 s="55"/>
      <c r="B476" s="55"/>
      <c r="C476" s="55"/>
      <c r="D476" s="55"/>
      <c r="E476" s="55"/>
      <c r="F476" s="55"/>
      <c r="G476" s="509"/>
      <c r="H476" s="58"/>
      <c r="I476" s="58"/>
    </row>
    <row r="477" spans="1:9" s="1" customFormat="1">
      <c r="A477" s="55"/>
      <c r="B477" s="55"/>
      <c r="C477" s="55"/>
      <c r="D477" s="55"/>
      <c r="E477" s="55"/>
      <c r="F477" s="55"/>
      <c r="G477" s="509"/>
      <c r="H477" s="58"/>
      <c r="I477" s="58"/>
    </row>
    <row r="478" spans="1:9" s="1" customFormat="1">
      <c r="A478" s="50"/>
      <c r="B478"/>
      <c r="C478" s="51"/>
      <c r="D478" s="51"/>
      <c r="E478" s="51"/>
      <c r="F478"/>
      <c r="G478" s="51"/>
      <c r="H478" s="59"/>
      <c r="I478" s="40"/>
    </row>
    <row r="479" spans="1:9" s="1" customFormat="1">
      <c r="A479"/>
      <c r="B479"/>
      <c r="C479"/>
      <c r="D479"/>
      <c r="E479"/>
      <c r="F479"/>
      <c r="G479" s="40"/>
      <c r="H479" s="40"/>
      <c r="I479" s="57"/>
    </row>
    <row r="480" spans="1:9" s="1" customFormat="1">
      <c r="A480"/>
      <c r="B480"/>
      <c r="C480"/>
      <c r="D480"/>
      <c r="E480"/>
      <c r="F480"/>
      <c r="G480" s="57"/>
      <c r="H480" s="40"/>
      <c r="I480" s="40"/>
    </row>
    <row r="481" spans="1:9" s="1" customFormat="1">
      <c r="A481"/>
      <c r="B481"/>
      <c r="C481"/>
      <c r="D481"/>
      <c r="E481"/>
      <c r="F481"/>
      <c r="G481" s="38"/>
      <c r="H481" s="40"/>
      <c r="I481" s="40"/>
    </row>
    <row r="482" spans="1:9" s="1" customFormat="1">
      <c r="A482"/>
      <c r="B482"/>
      <c r="C482"/>
      <c r="D482"/>
      <c r="E482"/>
      <c r="F482"/>
      <c r="G482" s="60"/>
      <c r="H482" s="40"/>
      <c r="I482" s="40"/>
    </row>
    <row r="483" spans="1:9" s="1" customFormat="1">
      <c r="A483"/>
      <c r="B483"/>
      <c r="C483"/>
      <c r="D483"/>
      <c r="E483"/>
      <c r="F483" s="40"/>
      <c r="G483"/>
      <c r="H483"/>
      <c r="I483"/>
    </row>
    <row r="484" spans="1:9" s="1" customFormat="1">
      <c r="A484" s="52"/>
      <c r="B484"/>
      <c r="C484"/>
      <c r="D484"/>
      <c r="E484"/>
      <c r="F484" s="40"/>
      <c r="G484"/>
      <c r="H484"/>
      <c r="I484"/>
    </row>
    <row r="485" spans="1:9" s="1" customFormat="1">
      <c r="A485"/>
      <c r="B485" s="61"/>
      <c r="C485"/>
      <c r="D485"/>
      <c r="E485"/>
      <c r="F485"/>
      <c r="G485"/>
      <c r="H485"/>
      <c r="I485"/>
    </row>
    <row r="486" spans="1:9" s="1" customFormat="1">
      <c r="A486" s="507"/>
      <c r="B486" s="62"/>
      <c r="C486" s="62"/>
      <c r="D486" s="62"/>
      <c r="E486" s="507"/>
      <c r="F486" s="507"/>
      <c r="G486" s="507"/>
      <c r="H486" s="507"/>
      <c r="I486" s="507"/>
    </row>
    <row r="487" spans="1:9" s="1" customFormat="1">
      <c r="A487" s="507"/>
      <c r="B487" s="62"/>
      <c r="C487" s="62"/>
      <c r="D487" s="62"/>
      <c r="E487" s="62"/>
      <c r="F487" s="62"/>
      <c r="G487" s="508"/>
      <c r="H487" s="508"/>
      <c r="I487" s="508"/>
    </row>
    <row r="488" spans="1:9" s="1" customFormat="1">
      <c r="A488" s="53"/>
      <c r="B488" s="63"/>
      <c r="C488" s="40"/>
      <c r="D488" s="40"/>
      <c r="E488" s="40"/>
      <c r="F488" s="54"/>
      <c r="G488" s="40"/>
      <c r="H488" s="40"/>
      <c r="I488" s="45"/>
    </row>
    <row r="489" spans="1:9" s="1" customFormat="1">
      <c r="A489" s="53"/>
      <c r="B489" s="63"/>
      <c r="C489" s="40"/>
      <c r="D489" s="40"/>
      <c r="E489" s="40"/>
      <c r="F489" s="54"/>
      <c r="G489" s="40"/>
      <c r="H489" s="44"/>
      <c r="I489" s="45"/>
    </row>
    <row r="490" spans="1:9" s="1" customFormat="1">
      <c r="A490" s="53"/>
      <c r="B490" s="63"/>
      <c r="C490" s="40"/>
      <c r="D490" s="40"/>
      <c r="E490" s="40"/>
      <c r="F490" s="54"/>
      <c r="G490" s="40"/>
      <c r="H490" s="44"/>
      <c r="I490"/>
    </row>
    <row r="491" spans="1:9" s="1" customFormat="1">
      <c r="A491" s="53"/>
      <c r="B491" s="63"/>
      <c r="C491" s="40"/>
      <c r="D491" s="40"/>
      <c r="E491" s="40"/>
      <c r="F491" s="54"/>
      <c r="G491" s="40"/>
      <c r="H491" s="44"/>
      <c r="I491" s="45"/>
    </row>
    <row r="492" spans="1:9" s="1" customFormat="1">
      <c r="A492" s="53"/>
      <c r="B492" s="64"/>
      <c r="C492" s="40"/>
      <c r="D492" s="40"/>
      <c r="E492" s="40"/>
      <c r="F492" s="54"/>
      <c r="G492" s="40"/>
      <c r="H492" s="44"/>
      <c r="I492" s="45"/>
    </row>
    <row r="493" spans="1:9" s="1" customFormat="1">
      <c r="A493" s="53"/>
      <c r="B493" s="64"/>
      <c r="C493" s="40"/>
      <c r="D493" s="40"/>
      <c r="E493" s="40"/>
      <c r="F493" s="54"/>
      <c r="G493" s="40"/>
      <c r="H493" s="44"/>
      <c r="I493" s="45"/>
    </row>
    <row r="494" spans="1:9" s="1" customFormat="1">
      <c r="A494" s="53"/>
      <c r="B494" s="64"/>
      <c r="C494" s="40"/>
      <c r="D494" s="40"/>
      <c r="E494" s="40"/>
      <c r="F494" s="54"/>
      <c r="G494" s="40"/>
      <c r="H494" s="44"/>
      <c r="I494" s="45"/>
    </row>
    <row r="495" spans="1:9" s="1" customFormat="1">
      <c r="A495" s="53"/>
      <c r="B495" s="64"/>
      <c r="C495" s="40"/>
      <c r="D495" s="40"/>
      <c r="E495" s="40"/>
      <c r="F495" s="54"/>
      <c r="G495" s="40"/>
      <c r="H495" s="44"/>
      <c r="I495" s="45"/>
    </row>
    <row r="496" spans="1:9" s="1" customFormat="1">
      <c r="A496" s="53"/>
      <c r="B496" s="64"/>
      <c r="C496" s="40"/>
      <c r="D496" s="40"/>
      <c r="E496" s="40"/>
      <c r="F496" s="54"/>
      <c r="G496" s="40"/>
      <c r="H496" s="44"/>
      <c r="I496" s="45"/>
    </row>
    <row r="497" spans="1:9" s="1" customFormat="1">
      <c r="A497" s="53"/>
      <c r="B497" s="64"/>
      <c r="C497" s="40"/>
      <c r="D497" s="40"/>
      <c r="E497" s="40"/>
      <c r="F497" s="54"/>
      <c r="G497" s="40"/>
      <c r="H497" s="44"/>
      <c r="I497" s="45"/>
    </row>
    <row r="498" spans="1:9" s="1" customFormat="1">
      <c r="A498" s="53"/>
      <c r="B498" s="64"/>
      <c r="C498" s="40"/>
      <c r="D498" s="40"/>
      <c r="E498" s="40"/>
      <c r="F498" s="54"/>
      <c r="G498" s="40"/>
      <c r="H498" s="44"/>
      <c r="I498" s="45"/>
    </row>
    <row r="499" spans="1:9" s="1" customFormat="1">
      <c r="A499" s="53"/>
      <c r="B499" s="64"/>
      <c r="C499" s="40"/>
      <c r="D499" s="40"/>
      <c r="E499" s="40"/>
      <c r="F499" s="54"/>
      <c r="G499" s="40"/>
      <c r="H499" s="44"/>
      <c r="I499" s="45"/>
    </row>
    <row r="500" spans="1:9" s="1" customFormat="1">
      <c r="A500" s="53"/>
      <c r="B500" s="64"/>
      <c r="C500" s="40"/>
      <c r="D500" s="40"/>
      <c r="E500" s="40"/>
      <c r="F500" s="54"/>
      <c r="G500" s="40"/>
      <c r="H500" s="44"/>
      <c r="I500" s="45"/>
    </row>
    <row r="501" spans="1:9" s="1" customFormat="1">
      <c r="A501" s="53"/>
      <c r="B501" s="64"/>
      <c r="C501" s="40"/>
      <c r="D501" s="40"/>
      <c r="E501" s="40"/>
      <c r="F501" s="54"/>
      <c r="G501" s="40"/>
      <c r="H501" s="44"/>
      <c r="I501" s="45"/>
    </row>
    <row r="502" spans="1:9" s="1" customFormat="1">
      <c r="A502" s="53"/>
      <c r="B502" s="64"/>
      <c r="C502" s="40"/>
      <c r="D502" s="40"/>
      <c r="E502" s="40"/>
      <c r="F502" s="54"/>
      <c r="G502" s="40"/>
      <c r="H502" s="44"/>
      <c r="I502" s="45"/>
    </row>
    <row r="503" spans="1:9" s="1" customFormat="1">
      <c r="A503" s="53"/>
      <c r="B503" s="64"/>
      <c r="C503" s="40"/>
      <c r="D503" s="40"/>
      <c r="E503" s="40"/>
      <c r="F503" s="54"/>
      <c r="G503" s="40"/>
      <c r="H503" s="44"/>
      <c r="I503" s="45"/>
    </row>
    <row r="504" spans="1:9" s="1" customFormat="1">
      <c r="A504" s="53"/>
      <c r="B504" s="64"/>
      <c r="C504" s="40"/>
      <c r="D504" s="40"/>
      <c r="E504" s="40"/>
      <c r="F504" s="54"/>
      <c r="G504" s="40"/>
      <c r="H504" s="44"/>
      <c r="I504" s="45"/>
    </row>
    <row r="505" spans="1:9" s="1" customFormat="1">
      <c r="A505" s="53"/>
      <c r="B505" s="64"/>
      <c r="C505" s="40"/>
      <c r="D505" s="40"/>
      <c r="E505" s="40"/>
      <c r="F505" s="54"/>
      <c r="G505" s="40"/>
      <c r="H505" s="44"/>
      <c r="I505" s="45"/>
    </row>
    <row r="506" spans="1:9" s="1" customFormat="1">
      <c r="A506" s="53"/>
      <c r="B506" s="64"/>
      <c r="C506" s="40"/>
      <c r="D506" s="40"/>
      <c r="E506" s="40"/>
      <c r="F506" s="54"/>
      <c r="G506" s="40"/>
      <c r="H506" s="44"/>
      <c r="I506" s="45"/>
    </row>
    <row r="507" spans="1:9" s="1" customFormat="1">
      <c r="A507" s="53"/>
      <c r="B507" s="64"/>
      <c r="C507" s="40"/>
      <c r="D507" s="40"/>
      <c r="E507" s="40"/>
      <c r="F507" s="54"/>
      <c r="G507" s="40"/>
      <c r="H507" s="44"/>
      <c r="I507" s="45"/>
    </row>
    <row r="508" spans="1:9" s="1" customFormat="1">
      <c r="A508" s="53"/>
      <c r="B508" s="64"/>
      <c r="C508" s="40"/>
      <c r="D508" s="40"/>
      <c r="E508" s="40"/>
      <c r="F508" s="54"/>
      <c r="G508" s="40"/>
      <c r="H508" s="44"/>
      <c r="I508" s="45"/>
    </row>
    <row r="509" spans="1:9" s="1" customFormat="1">
      <c r="A509" s="53"/>
      <c r="B509" s="64"/>
      <c r="C509" s="40"/>
      <c r="D509" s="40"/>
      <c r="E509" s="40"/>
      <c r="F509" s="54"/>
      <c r="G509" s="40"/>
      <c r="H509" s="44"/>
      <c r="I509" s="45"/>
    </row>
    <row r="510" spans="1:9" s="1" customFormat="1">
      <c r="A510" s="53"/>
      <c r="B510" s="64"/>
      <c r="C510" s="40"/>
      <c r="D510" s="40"/>
      <c r="E510" s="40"/>
      <c r="F510" s="54"/>
      <c r="G510" s="40"/>
      <c r="H510" s="44"/>
      <c r="I510" s="45"/>
    </row>
    <row r="511" spans="1:9" s="1" customFormat="1">
      <c r="A511" s="53"/>
      <c r="B511" s="64"/>
      <c r="C511" s="40"/>
      <c r="D511" s="40"/>
      <c r="E511" s="40"/>
      <c r="F511" s="54"/>
      <c r="G511" s="40"/>
      <c r="H511" s="44"/>
      <c r="I511" s="45"/>
    </row>
    <row r="512" spans="1:9" s="1" customFormat="1">
      <c r="A512" s="53"/>
      <c r="B512" s="64"/>
      <c r="C512" s="40"/>
      <c r="D512" s="40"/>
      <c r="E512" s="40"/>
      <c r="F512" s="54"/>
      <c r="G512" s="40"/>
      <c r="H512" s="44"/>
      <c r="I512" s="45"/>
    </row>
    <row r="513" spans="1:9" s="1" customFormat="1">
      <c r="A513" s="69"/>
      <c r="B513" s="46"/>
      <c r="C513" s="46"/>
      <c r="D513" s="46"/>
      <c r="E513" s="46"/>
      <c r="F513" s="46"/>
      <c r="G513" s="46"/>
      <c r="H513" s="46"/>
      <c r="I513" s="46"/>
    </row>
    <row r="514" spans="1:9" s="1" customFormat="1">
      <c r="A514"/>
      <c r="B514" s="40"/>
      <c r="C514" s="40"/>
      <c r="D514" s="40"/>
      <c r="E514" s="40"/>
      <c r="F514"/>
      <c r="G514"/>
      <c r="H514"/>
      <c r="I514"/>
    </row>
    <row r="515" spans="1:9" s="1" customFormat="1">
      <c r="A515"/>
      <c r="B515"/>
      <c r="C515" s="65"/>
      <c r="D515" s="65"/>
      <c r="E515" s="66"/>
      <c r="F515" s="67"/>
      <c r="G515" s="65"/>
      <c r="H515"/>
      <c r="I515" s="68"/>
    </row>
    <row r="516" spans="1:9" s="1" customFormat="1" ht="12"/>
    <row r="517" spans="1:9" s="1" customFormat="1" ht="20.25">
      <c r="A517" s="42"/>
      <c r="B517" s="41"/>
      <c r="G517" s="43"/>
      <c r="H517" s="43"/>
      <c r="I517" s="43"/>
    </row>
    <row r="518" spans="1:9" s="1" customFormat="1" ht="20.25">
      <c r="A518" s="43"/>
      <c r="B518" s="43"/>
      <c r="C518" s="43"/>
      <c r="D518" s="43"/>
      <c r="E518" s="43"/>
      <c r="F518" s="43"/>
      <c r="G518" s="43"/>
      <c r="H518" s="43"/>
      <c r="I518" s="43"/>
    </row>
    <row r="519" spans="1:9" s="1" customFormat="1" ht="31.5" customHeight="1">
      <c r="A519" s="506"/>
      <c r="B519" s="563"/>
      <c r="C519" s="563"/>
      <c r="D519" s="147"/>
      <c r="E519" s="43"/>
      <c r="F519" s="43"/>
      <c r="G519" s="43"/>
      <c r="H519" s="43"/>
      <c r="I519" s="43"/>
    </row>
    <row r="520" spans="1:9" s="1" customFormat="1">
      <c r="A520" s="55"/>
      <c r="B520" s="55"/>
      <c r="C520" s="55"/>
      <c r="D520" s="55"/>
      <c r="E520" s="55"/>
      <c r="F520" s="55"/>
      <c r="G520" s="56"/>
      <c r="H520" s="56"/>
      <c r="I520" s="510"/>
    </row>
    <row r="521" spans="1:9" s="1" customFormat="1">
      <c r="A521" s="55"/>
      <c r="B521" s="55"/>
      <c r="C521" s="55"/>
      <c r="D521" s="55"/>
      <c r="E521" s="55"/>
      <c r="F521" s="55"/>
      <c r="G521" s="56"/>
      <c r="H521" s="56"/>
      <c r="I521" s="510"/>
    </row>
    <row r="522" spans="1:9" s="1" customFormat="1">
      <c r="A522"/>
      <c r="B522"/>
      <c r="C522"/>
      <c r="D522"/>
      <c r="E522"/>
      <c r="F522"/>
      <c r="G522"/>
      <c r="H522" s="40"/>
      <c r="I522"/>
    </row>
    <row r="523" spans="1:9" s="1" customFormat="1">
      <c r="A523"/>
      <c r="B523"/>
      <c r="C523"/>
      <c r="D523"/>
      <c r="E523"/>
      <c r="F523"/>
      <c r="G523" s="48"/>
      <c r="H523" s="57"/>
      <c r="I523" s="40"/>
    </row>
    <row r="524" spans="1:9" s="1" customFormat="1">
      <c r="A524"/>
      <c r="B524"/>
      <c r="C524"/>
      <c r="D524"/>
      <c r="E524"/>
      <c r="F524"/>
      <c r="G524" s="48"/>
      <c r="H524" s="57"/>
      <c r="I524" s="40"/>
    </row>
    <row r="525" spans="1:9" s="1" customFormat="1">
      <c r="A525"/>
      <c r="B525"/>
      <c r="C525"/>
      <c r="D525"/>
      <c r="E525"/>
      <c r="F525"/>
      <c r="G525" s="49"/>
      <c r="H525" s="57"/>
      <c r="I525" s="40"/>
    </row>
    <row r="526" spans="1:9" s="1" customFormat="1">
      <c r="A526"/>
      <c r="B526"/>
      <c r="C526"/>
      <c r="D526"/>
      <c r="E526"/>
      <c r="F526"/>
      <c r="G526" s="49"/>
      <c r="H526" s="57"/>
      <c r="I526" s="40"/>
    </row>
    <row r="527" spans="1:9" s="1" customFormat="1">
      <c r="A527"/>
      <c r="B527"/>
      <c r="C527"/>
      <c r="D527"/>
      <c r="E527"/>
      <c r="F527"/>
      <c r="G527" s="49"/>
      <c r="H527" s="57"/>
      <c r="I527" s="40"/>
    </row>
    <row r="528" spans="1:9" s="1" customFormat="1">
      <c r="A528"/>
      <c r="B528"/>
      <c r="C528"/>
      <c r="D528"/>
      <c r="E528"/>
      <c r="F528"/>
      <c r="G528" s="49"/>
      <c r="H528" s="57"/>
      <c r="I528" s="40"/>
    </row>
    <row r="529" spans="1:9" s="1" customFormat="1">
      <c r="A529"/>
      <c r="B529"/>
      <c r="C529"/>
      <c r="D529"/>
      <c r="E529"/>
      <c r="F529"/>
      <c r="G529"/>
      <c r="H529"/>
      <c r="I529"/>
    </row>
    <row r="530" spans="1:9" s="1" customFormat="1">
      <c r="A530" s="55"/>
      <c r="B530" s="55"/>
      <c r="C530" s="55"/>
      <c r="D530" s="55"/>
      <c r="E530" s="55"/>
      <c r="F530" s="55"/>
      <c r="G530" s="509"/>
      <c r="H530" s="58"/>
      <c r="I530" s="58"/>
    </row>
    <row r="531" spans="1:9" s="1" customFormat="1">
      <c r="A531" s="55"/>
      <c r="B531" s="55"/>
      <c r="C531" s="55"/>
      <c r="D531" s="55"/>
      <c r="E531" s="55"/>
      <c r="F531" s="55"/>
      <c r="G531" s="509"/>
      <c r="H531" s="58"/>
      <c r="I531" s="58"/>
    </row>
    <row r="532" spans="1:9" s="1" customFormat="1">
      <c r="A532" s="50"/>
      <c r="B532"/>
      <c r="C532" s="51"/>
      <c r="D532" s="51"/>
      <c r="E532" s="51"/>
      <c r="F532"/>
      <c r="G532" s="51"/>
      <c r="H532" s="59"/>
      <c r="I532" s="40"/>
    </row>
    <row r="533" spans="1:9" s="1" customFormat="1">
      <c r="A533"/>
      <c r="B533"/>
      <c r="C533"/>
      <c r="D533"/>
      <c r="E533"/>
      <c r="F533"/>
      <c r="G533" s="40"/>
      <c r="H533" s="40"/>
      <c r="I533" s="57"/>
    </row>
    <row r="534" spans="1:9" s="1" customFormat="1">
      <c r="A534"/>
      <c r="B534"/>
      <c r="C534"/>
      <c r="D534"/>
      <c r="E534"/>
      <c r="F534"/>
      <c r="G534" s="57"/>
      <c r="H534" s="40"/>
      <c r="I534" s="40"/>
    </row>
    <row r="535" spans="1:9" s="1" customFormat="1">
      <c r="A535"/>
      <c r="B535"/>
      <c r="C535"/>
      <c r="D535"/>
      <c r="E535"/>
      <c r="F535"/>
      <c r="G535" s="38"/>
      <c r="H535" s="40"/>
      <c r="I535" s="40"/>
    </row>
    <row r="536" spans="1:9" s="1" customFormat="1">
      <c r="A536"/>
      <c r="B536"/>
      <c r="C536"/>
      <c r="D536"/>
      <c r="E536"/>
      <c r="F536"/>
      <c r="G536" s="60"/>
      <c r="H536" s="40"/>
      <c r="I536" s="40"/>
    </row>
    <row r="537" spans="1:9" s="1" customFormat="1">
      <c r="A537"/>
      <c r="B537"/>
      <c r="C537"/>
      <c r="D537"/>
      <c r="E537"/>
      <c r="F537" s="40"/>
      <c r="G537"/>
      <c r="H537"/>
      <c r="I537"/>
    </row>
    <row r="538" spans="1:9" s="1" customFormat="1">
      <c r="A538" s="52"/>
      <c r="B538"/>
      <c r="C538"/>
      <c r="D538"/>
      <c r="E538"/>
      <c r="F538" s="40"/>
      <c r="G538"/>
      <c r="H538"/>
      <c r="I538"/>
    </row>
    <row r="539" spans="1:9" s="1" customFormat="1">
      <c r="A539"/>
      <c r="B539" s="61"/>
      <c r="C539"/>
      <c r="D539"/>
      <c r="E539"/>
      <c r="F539"/>
      <c r="G539"/>
      <c r="H539"/>
      <c r="I539"/>
    </row>
    <row r="540" spans="1:9" s="1" customFormat="1">
      <c r="A540" s="507"/>
      <c r="B540" s="62"/>
      <c r="C540" s="62"/>
      <c r="D540" s="62"/>
      <c r="E540" s="507"/>
      <c r="F540" s="507"/>
      <c r="G540" s="507"/>
      <c r="H540" s="507"/>
      <c r="I540" s="507"/>
    </row>
    <row r="541" spans="1:9" s="1" customFormat="1">
      <c r="A541" s="507"/>
      <c r="B541" s="62"/>
      <c r="C541" s="62"/>
      <c r="D541" s="62"/>
      <c r="E541" s="62"/>
      <c r="F541" s="62"/>
      <c r="G541" s="508"/>
      <c r="H541" s="508"/>
      <c r="I541" s="508"/>
    </row>
    <row r="542" spans="1:9" s="1" customFormat="1">
      <c r="A542" s="53"/>
      <c r="B542" s="63"/>
      <c r="C542" s="40"/>
      <c r="D542" s="40"/>
      <c r="E542" s="40"/>
      <c r="F542" s="54"/>
      <c r="G542" s="40"/>
      <c r="H542" s="40"/>
      <c r="I542" s="45"/>
    </row>
    <row r="543" spans="1:9" s="1" customFormat="1">
      <c r="A543" s="53"/>
      <c r="B543" s="63"/>
      <c r="C543" s="40"/>
      <c r="D543" s="40"/>
      <c r="E543" s="40"/>
      <c r="F543" s="54"/>
      <c r="G543" s="40"/>
      <c r="H543" s="44"/>
      <c r="I543" s="45"/>
    </row>
    <row r="544" spans="1:9" s="1" customFormat="1">
      <c r="A544" s="53"/>
      <c r="B544" s="63"/>
      <c r="C544" s="40"/>
      <c r="D544" s="40"/>
      <c r="E544" s="40"/>
      <c r="F544" s="54"/>
      <c r="G544" s="40"/>
      <c r="H544" s="44"/>
      <c r="I544"/>
    </row>
    <row r="545" spans="1:9" s="1" customFormat="1">
      <c r="A545" s="53"/>
      <c r="B545" s="63"/>
      <c r="C545" s="40"/>
      <c r="D545" s="40"/>
      <c r="E545" s="40"/>
      <c r="F545" s="54"/>
      <c r="G545" s="40"/>
      <c r="H545" s="44"/>
      <c r="I545" s="45"/>
    </row>
    <row r="546" spans="1:9" s="1" customFormat="1">
      <c r="A546" s="53"/>
      <c r="B546" s="64"/>
      <c r="C546" s="40"/>
      <c r="D546" s="40"/>
      <c r="E546" s="40"/>
      <c r="F546" s="54"/>
      <c r="G546" s="40"/>
      <c r="H546" s="44"/>
      <c r="I546" s="45"/>
    </row>
    <row r="547" spans="1:9" s="1" customFormat="1">
      <c r="A547" s="53"/>
      <c r="B547" s="64"/>
      <c r="C547" s="40"/>
      <c r="D547" s="40"/>
      <c r="E547" s="40"/>
      <c r="F547" s="54"/>
      <c r="G547" s="40"/>
      <c r="H547" s="44"/>
      <c r="I547" s="45"/>
    </row>
    <row r="548" spans="1:9" s="1" customFormat="1">
      <c r="A548" s="53"/>
      <c r="B548" s="64"/>
      <c r="C548" s="40"/>
      <c r="D548" s="40"/>
      <c r="E548" s="40"/>
      <c r="F548" s="54"/>
      <c r="G548" s="40"/>
      <c r="H548" s="44"/>
      <c r="I548" s="45"/>
    </row>
    <row r="549" spans="1:9" s="1" customFormat="1">
      <c r="A549" s="53"/>
      <c r="B549" s="64"/>
      <c r="C549" s="40"/>
      <c r="D549" s="40"/>
      <c r="E549" s="40"/>
      <c r="F549" s="54"/>
      <c r="G549" s="40"/>
      <c r="H549" s="44"/>
      <c r="I549" s="45"/>
    </row>
    <row r="550" spans="1:9" s="1" customFormat="1">
      <c r="A550" s="53"/>
      <c r="B550" s="64"/>
      <c r="C550" s="40"/>
      <c r="D550" s="40"/>
      <c r="E550" s="40"/>
      <c r="F550" s="54"/>
      <c r="G550" s="40"/>
      <c r="H550" s="44"/>
      <c r="I550" s="45"/>
    </row>
    <row r="551" spans="1:9" s="1" customFormat="1">
      <c r="A551" s="53"/>
      <c r="B551" s="64"/>
      <c r="C551" s="40"/>
      <c r="D551" s="40"/>
      <c r="E551" s="40"/>
      <c r="F551" s="54"/>
      <c r="G551" s="40"/>
      <c r="H551" s="44"/>
      <c r="I551" s="45"/>
    </row>
    <row r="552" spans="1:9" s="1" customFormat="1">
      <c r="A552" s="53"/>
      <c r="B552" s="64"/>
      <c r="C552" s="40"/>
      <c r="D552" s="40"/>
      <c r="E552" s="40"/>
      <c r="F552" s="54"/>
      <c r="G552" s="40"/>
      <c r="H552" s="44"/>
      <c r="I552" s="45"/>
    </row>
    <row r="553" spans="1:9" s="1" customFormat="1">
      <c r="A553" s="53"/>
      <c r="B553" s="64"/>
      <c r="C553" s="40"/>
      <c r="D553" s="40"/>
      <c r="E553" s="40"/>
      <c r="F553" s="54"/>
      <c r="G553" s="40"/>
      <c r="H553" s="44"/>
      <c r="I553" s="45"/>
    </row>
    <row r="554" spans="1:9" s="1" customFormat="1">
      <c r="A554" s="53"/>
      <c r="B554" s="64"/>
      <c r="C554" s="40"/>
      <c r="D554" s="40"/>
      <c r="E554" s="40"/>
      <c r="F554" s="54"/>
      <c r="G554" s="40"/>
      <c r="H554" s="44"/>
      <c r="I554" s="45"/>
    </row>
    <row r="555" spans="1:9" s="1" customFormat="1">
      <c r="A555" s="53"/>
      <c r="B555" s="64"/>
      <c r="C555" s="40"/>
      <c r="D555" s="40"/>
      <c r="E555" s="40"/>
      <c r="F555" s="54"/>
      <c r="G555" s="40"/>
      <c r="H555" s="44"/>
      <c r="I555" s="45"/>
    </row>
    <row r="556" spans="1:9" s="1" customFormat="1">
      <c r="A556" s="53"/>
      <c r="B556" s="64"/>
      <c r="C556" s="40"/>
      <c r="D556" s="40"/>
      <c r="E556" s="40"/>
      <c r="F556" s="54"/>
      <c r="G556" s="40"/>
      <c r="H556" s="44"/>
      <c r="I556" s="45"/>
    </row>
    <row r="557" spans="1:9" s="1" customFormat="1">
      <c r="A557" s="53"/>
      <c r="B557" s="64"/>
      <c r="C557" s="40"/>
      <c r="D557" s="40"/>
      <c r="E557" s="40"/>
      <c r="F557" s="54"/>
      <c r="G557" s="40"/>
      <c r="H557" s="44"/>
      <c r="I557" s="45"/>
    </row>
    <row r="558" spans="1:9" s="1" customFormat="1">
      <c r="A558" s="53"/>
      <c r="B558" s="64"/>
      <c r="C558" s="40"/>
      <c r="D558" s="40"/>
      <c r="E558" s="40"/>
      <c r="F558" s="54"/>
      <c r="G558" s="40"/>
      <c r="H558" s="44"/>
      <c r="I558" s="45"/>
    </row>
    <row r="559" spans="1:9" s="1" customFormat="1">
      <c r="A559" s="53"/>
      <c r="B559" s="64"/>
      <c r="C559" s="40"/>
      <c r="D559" s="40"/>
      <c r="E559" s="40"/>
      <c r="F559" s="54"/>
      <c r="G559" s="40"/>
      <c r="H559" s="44"/>
      <c r="I559" s="45"/>
    </row>
    <row r="560" spans="1:9" s="1" customFormat="1">
      <c r="A560" s="53"/>
      <c r="B560" s="64"/>
      <c r="C560" s="40"/>
      <c r="D560" s="40"/>
      <c r="E560" s="40"/>
      <c r="F560" s="54"/>
      <c r="G560" s="40"/>
      <c r="H560" s="44"/>
      <c r="I560" s="45"/>
    </row>
    <row r="561" spans="1:9" s="1" customFormat="1">
      <c r="A561" s="53"/>
      <c r="B561" s="64"/>
      <c r="C561" s="40"/>
      <c r="D561" s="40"/>
      <c r="E561" s="40"/>
      <c r="F561" s="54"/>
      <c r="G561" s="40"/>
      <c r="H561" s="44"/>
      <c r="I561" s="45"/>
    </row>
    <row r="562" spans="1:9" s="1" customFormat="1">
      <c r="A562" s="53"/>
      <c r="B562" s="64"/>
      <c r="C562" s="40"/>
      <c r="D562" s="40"/>
      <c r="E562" s="40"/>
      <c r="F562" s="54"/>
      <c r="G562" s="40"/>
      <c r="H562" s="44"/>
      <c r="I562" s="45"/>
    </row>
    <row r="563" spans="1:9" s="1" customFormat="1">
      <c r="A563" s="53"/>
      <c r="B563" s="64"/>
      <c r="C563" s="40"/>
      <c r="D563" s="40"/>
      <c r="E563" s="40"/>
      <c r="F563" s="54"/>
      <c r="G563" s="40"/>
      <c r="H563" s="44"/>
      <c r="I563" s="45"/>
    </row>
    <row r="564" spans="1:9" s="1" customFormat="1">
      <c r="A564" s="53"/>
      <c r="B564" s="64"/>
      <c r="C564" s="40"/>
      <c r="D564" s="40"/>
      <c r="E564" s="40"/>
      <c r="F564" s="54"/>
      <c r="G564" s="40"/>
      <c r="H564" s="44"/>
      <c r="I564" s="45"/>
    </row>
    <row r="565" spans="1:9" s="1" customFormat="1">
      <c r="A565" s="53"/>
      <c r="B565" s="64"/>
      <c r="C565" s="40"/>
      <c r="D565" s="40"/>
      <c r="E565" s="40"/>
      <c r="F565" s="54"/>
      <c r="G565" s="40"/>
      <c r="H565" s="44"/>
      <c r="I565" s="45"/>
    </row>
    <row r="566" spans="1:9" s="1" customFormat="1">
      <c r="A566" s="53"/>
      <c r="B566" s="64"/>
      <c r="C566" s="40"/>
      <c r="D566" s="40"/>
      <c r="E566" s="40"/>
      <c r="F566" s="54"/>
      <c r="G566" s="40"/>
      <c r="H566" s="44"/>
      <c r="I566" s="45"/>
    </row>
    <row r="567" spans="1:9" s="1" customFormat="1">
      <c r="A567" s="69"/>
      <c r="B567" s="46"/>
      <c r="C567" s="46"/>
      <c r="D567" s="46"/>
      <c r="E567" s="46"/>
      <c r="F567" s="46"/>
      <c r="G567" s="46"/>
      <c r="H567" s="46"/>
      <c r="I567" s="46"/>
    </row>
    <row r="568" spans="1:9" s="1" customFormat="1">
      <c r="A568"/>
      <c r="B568" s="40"/>
      <c r="C568" s="40"/>
      <c r="D568" s="40"/>
      <c r="E568" s="40"/>
      <c r="F568"/>
      <c r="G568"/>
      <c r="H568"/>
      <c r="I568"/>
    </row>
    <row r="569" spans="1:9" s="1" customFormat="1">
      <c r="A569"/>
      <c r="B569"/>
      <c r="C569" s="65"/>
      <c r="D569" s="65"/>
      <c r="E569" s="66"/>
      <c r="F569" s="67"/>
      <c r="G569" s="65"/>
      <c r="H569"/>
      <c r="I569" s="68"/>
    </row>
    <row r="570" spans="1:9" s="1" customFormat="1" ht="12"/>
    <row r="571" spans="1:9" s="1" customFormat="1" ht="12"/>
    <row r="572" spans="1:9" s="1" customFormat="1" ht="20.25">
      <c r="A572" s="506"/>
      <c r="B572" s="563"/>
      <c r="C572" s="563"/>
      <c r="D572" s="147"/>
      <c r="E572" s="43"/>
      <c r="F572" s="43"/>
      <c r="G572" s="43"/>
      <c r="H572" s="43"/>
      <c r="I572" s="43"/>
    </row>
    <row r="573" spans="1:9" s="1" customFormat="1">
      <c r="A573" s="55"/>
      <c r="B573" s="55"/>
      <c r="C573" s="55"/>
      <c r="D573" s="55"/>
      <c r="E573" s="55"/>
      <c r="F573" s="55"/>
      <c r="G573" s="56"/>
      <c r="H573" s="56"/>
      <c r="I573" s="510"/>
    </row>
    <row r="574" spans="1:9" s="1" customFormat="1">
      <c r="A574" s="55"/>
      <c r="B574" s="55"/>
      <c r="C574" s="55"/>
      <c r="D574" s="55"/>
      <c r="E574" s="55"/>
      <c r="F574" s="55"/>
      <c r="G574" s="56"/>
      <c r="H574" s="56"/>
      <c r="I574" s="510"/>
    </row>
    <row r="575" spans="1:9" s="1" customFormat="1">
      <c r="A575"/>
      <c r="B575"/>
      <c r="C575"/>
      <c r="D575"/>
      <c r="E575"/>
      <c r="F575"/>
      <c r="G575"/>
      <c r="H575" s="40"/>
      <c r="I575"/>
    </row>
    <row r="576" spans="1:9" s="1" customFormat="1">
      <c r="A576"/>
      <c r="B576"/>
      <c r="C576"/>
      <c r="D576"/>
      <c r="E576"/>
      <c r="F576"/>
      <c r="G576" s="47"/>
      <c r="H576" s="57"/>
      <c r="I576" s="40"/>
    </row>
    <row r="577" spans="1:9" s="1" customFormat="1">
      <c r="A577"/>
      <c r="B577"/>
      <c r="C577"/>
      <c r="D577"/>
      <c r="E577"/>
      <c r="F577"/>
      <c r="G577" s="48"/>
      <c r="H577" s="57"/>
      <c r="I577" s="40"/>
    </row>
    <row r="578" spans="1:9" s="1" customFormat="1">
      <c r="A578"/>
      <c r="B578"/>
      <c r="C578"/>
      <c r="D578"/>
      <c r="E578"/>
      <c r="F578"/>
      <c r="G578" s="49"/>
      <c r="H578" s="57"/>
      <c r="I578" s="40"/>
    </row>
    <row r="579" spans="1:9" s="1" customFormat="1">
      <c r="A579"/>
      <c r="B579"/>
      <c r="C579"/>
      <c r="D579"/>
      <c r="E579"/>
      <c r="F579"/>
      <c r="G579" s="49"/>
      <c r="H579" s="57"/>
      <c r="I579" s="40"/>
    </row>
    <row r="580" spans="1:9" s="1" customFormat="1">
      <c r="A580"/>
      <c r="B580"/>
      <c r="C580"/>
      <c r="D580"/>
      <c r="E580"/>
      <c r="F580"/>
      <c r="G580" s="49"/>
      <c r="H580" s="57"/>
      <c r="I580" s="40"/>
    </row>
    <row r="581" spans="1:9" s="1" customFormat="1">
      <c r="A581"/>
      <c r="B581"/>
      <c r="C581"/>
      <c r="D581"/>
      <c r="E581"/>
      <c r="F581"/>
      <c r="G581" s="49"/>
      <c r="H581" s="57"/>
      <c r="I581" s="40"/>
    </row>
    <row r="582" spans="1:9" s="1" customFormat="1">
      <c r="A582"/>
      <c r="B582"/>
      <c r="C582"/>
      <c r="D582"/>
      <c r="E582"/>
      <c r="F582"/>
      <c r="G582"/>
      <c r="H582"/>
      <c r="I582"/>
    </row>
    <row r="583" spans="1:9" s="1" customFormat="1">
      <c r="A583" s="55"/>
      <c r="B583" s="55"/>
      <c r="C583" s="55"/>
      <c r="D583" s="55"/>
      <c r="E583" s="55"/>
      <c r="F583" s="55"/>
      <c r="G583" s="509"/>
      <c r="H583" s="58"/>
      <c r="I583" s="58"/>
    </row>
    <row r="584" spans="1:9" s="1" customFormat="1">
      <c r="A584" s="55"/>
      <c r="B584" s="55"/>
      <c r="C584" s="55"/>
      <c r="D584" s="55"/>
      <c r="E584" s="55"/>
      <c r="F584" s="55"/>
      <c r="G584" s="509"/>
      <c r="H584" s="58"/>
      <c r="I584" s="58"/>
    </row>
    <row r="585" spans="1:9" s="1" customFormat="1">
      <c r="A585" s="50"/>
      <c r="B585"/>
      <c r="C585" s="51"/>
      <c r="D585" s="51"/>
      <c r="E585" s="51"/>
      <c r="F585"/>
      <c r="G585" s="51"/>
      <c r="H585" s="59"/>
      <c r="I585" s="40"/>
    </row>
    <row r="586" spans="1:9" s="1" customFormat="1">
      <c r="A586"/>
      <c r="B586"/>
      <c r="C586"/>
      <c r="D586"/>
      <c r="E586"/>
      <c r="F586"/>
      <c r="G586" s="40"/>
      <c r="H586" s="40"/>
      <c r="I586" s="57"/>
    </row>
    <row r="587" spans="1:9" s="1" customFormat="1">
      <c r="A587"/>
      <c r="B587"/>
      <c r="C587"/>
      <c r="D587"/>
      <c r="E587"/>
      <c r="F587"/>
      <c r="G587" s="57"/>
      <c r="H587" s="40"/>
      <c r="I587" s="40"/>
    </row>
    <row r="588" spans="1:9" s="1" customFormat="1">
      <c r="A588"/>
      <c r="B588"/>
      <c r="C588"/>
      <c r="D588"/>
      <c r="E588"/>
      <c r="F588"/>
      <c r="G588" s="38"/>
      <c r="H588" s="40"/>
      <c r="I588" s="40"/>
    </row>
    <row r="589" spans="1:9" s="1" customFormat="1">
      <c r="A589"/>
      <c r="B589"/>
      <c r="C589"/>
      <c r="D589"/>
      <c r="E589"/>
      <c r="F589"/>
      <c r="G589" s="60"/>
      <c r="H589" s="40"/>
      <c r="I589" s="40"/>
    </row>
    <row r="590" spans="1:9" s="1" customFormat="1">
      <c r="A590"/>
      <c r="B590"/>
      <c r="C590"/>
      <c r="D590"/>
      <c r="E590"/>
      <c r="F590" s="40"/>
      <c r="G590"/>
      <c r="H590"/>
      <c r="I590"/>
    </row>
    <row r="591" spans="1:9" s="1" customFormat="1">
      <c r="A591" s="52"/>
      <c r="B591"/>
      <c r="C591"/>
      <c r="D591"/>
      <c r="E591"/>
      <c r="F591" s="40"/>
      <c r="G591"/>
      <c r="H591"/>
      <c r="I591"/>
    </row>
    <row r="592" spans="1:9" s="1" customFormat="1">
      <c r="A592"/>
      <c r="B592" s="61"/>
      <c r="C592"/>
      <c r="D592"/>
      <c r="E592"/>
      <c r="F592"/>
      <c r="G592"/>
      <c r="H592"/>
      <c r="I592"/>
    </row>
    <row r="593" spans="1:9" s="1" customFormat="1">
      <c r="A593" s="507"/>
      <c r="B593" s="62"/>
      <c r="C593" s="62"/>
      <c r="D593" s="62"/>
      <c r="E593" s="507"/>
      <c r="F593" s="507"/>
      <c r="G593" s="507"/>
      <c r="H593" s="507"/>
      <c r="I593" s="507"/>
    </row>
    <row r="594" spans="1:9" s="1" customFormat="1">
      <c r="A594" s="507"/>
      <c r="B594" s="62"/>
      <c r="C594" s="62"/>
      <c r="D594" s="62"/>
      <c r="E594" s="62"/>
      <c r="F594" s="62"/>
      <c r="G594" s="508"/>
      <c r="H594" s="508"/>
      <c r="I594" s="508"/>
    </row>
    <row r="595" spans="1:9" s="1" customFormat="1">
      <c r="A595" s="53"/>
      <c r="B595" s="63"/>
      <c r="C595" s="40"/>
      <c r="D595" s="40"/>
      <c r="E595" s="40"/>
      <c r="F595" s="54"/>
      <c r="G595" s="40"/>
      <c r="H595" s="40"/>
      <c r="I595" s="45"/>
    </row>
    <row r="596" spans="1:9" s="1" customFormat="1">
      <c r="A596" s="53"/>
      <c r="B596" s="63"/>
      <c r="C596" s="40"/>
      <c r="D596" s="40"/>
      <c r="E596" s="40"/>
      <c r="F596" s="54"/>
      <c r="G596" s="40"/>
      <c r="H596" s="44"/>
      <c r="I596" s="45"/>
    </row>
    <row r="597" spans="1:9" s="1" customFormat="1">
      <c r="A597" s="53"/>
      <c r="B597" s="63"/>
      <c r="C597" s="40"/>
      <c r="D597" s="40"/>
      <c r="E597" s="40"/>
      <c r="F597" s="54"/>
      <c r="G597" s="40"/>
      <c r="H597" s="44"/>
      <c r="I597"/>
    </row>
    <row r="598" spans="1:9" s="1" customFormat="1">
      <c r="A598" s="53"/>
      <c r="B598" s="63"/>
      <c r="C598" s="40"/>
      <c r="D598" s="40"/>
      <c r="E598" s="40"/>
      <c r="F598" s="54"/>
      <c r="G598" s="40"/>
      <c r="H598" s="44"/>
      <c r="I598" s="45"/>
    </row>
    <row r="599" spans="1:9" s="1" customFormat="1">
      <c r="A599" s="53"/>
      <c r="B599" s="64"/>
      <c r="C599" s="40"/>
      <c r="D599" s="40"/>
      <c r="E599" s="40"/>
      <c r="F599" s="54"/>
      <c r="G599" s="40"/>
      <c r="H599" s="44"/>
      <c r="I599" s="45"/>
    </row>
    <row r="600" spans="1:9" s="1" customFormat="1">
      <c r="A600" s="53"/>
      <c r="B600" s="64"/>
      <c r="C600" s="40"/>
      <c r="D600" s="40"/>
      <c r="E600" s="40"/>
      <c r="F600" s="54"/>
      <c r="G600" s="40"/>
      <c r="H600" s="44"/>
      <c r="I600" s="45"/>
    </row>
    <row r="601" spans="1:9" s="1" customFormat="1">
      <c r="A601" s="53"/>
      <c r="B601" s="64"/>
      <c r="C601" s="40"/>
      <c r="D601" s="40"/>
      <c r="E601" s="40"/>
      <c r="F601" s="54"/>
      <c r="G601" s="40"/>
      <c r="H601" s="44"/>
      <c r="I601" s="45"/>
    </row>
    <row r="602" spans="1:9" s="1" customFormat="1">
      <c r="A602" s="53"/>
      <c r="B602" s="64"/>
      <c r="C602" s="40"/>
      <c r="D602" s="40"/>
      <c r="E602" s="40"/>
      <c r="F602" s="54"/>
      <c r="G602" s="40"/>
      <c r="H602" s="44"/>
      <c r="I602" s="45"/>
    </row>
    <row r="603" spans="1:9" s="1" customFormat="1">
      <c r="A603" s="53"/>
      <c r="B603" s="64"/>
      <c r="C603" s="40"/>
      <c r="D603" s="40"/>
      <c r="E603" s="40"/>
      <c r="F603" s="54"/>
      <c r="G603" s="40"/>
      <c r="H603" s="44"/>
      <c r="I603" s="45"/>
    </row>
    <row r="604" spans="1:9" s="1" customFormat="1">
      <c r="A604" s="53"/>
      <c r="B604" s="64"/>
      <c r="C604" s="40"/>
      <c r="D604" s="40"/>
      <c r="E604" s="40"/>
      <c r="F604" s="54"/>
      <c r="G604" s="40"/>
      <c r="H604" s="44"/>
      <c r="I604" s="45"/>
    </row>
    <row r="605" spans="1:9" s="1" customFormat="1">
      <c r="A605" s="53"/>
      <c r="B605" s="64"/>
      <c r="C605" s="40"/>
      <c r="D605" s="40"/>
      <c r="E605" s="40"/>
      <c r="F605" s="54"/>
      <c r="G605" s="40"/>
      <c r="H605" s="44"/>
      <c r="I605" s="45"/>
    </row>
    <row r="606" spans="1:9" s="1" customFormat="1">
      <c r="A606" s="53"/>
      <c r="B606" s="64"/>
      <c r="C606" s="40"/>
      <c r="D606" s="40"/>
      <c r="E606" s="40"/>
      <c r="F606" s="54"/>
      <c r="G606" s="40"/>
      <c r="H606" s="44"/>
      <c r="I606" s="45"/>
    </row>
    <row r="607" spans="1:9" s="1" customFormat="1">
      <c r="A607" s="53"/>
      <c r="B607" s="64"/>
      <c r="C607" s="40"/>
      <c r="D607" s="40"/>
      <c r="E607" s="40"/>
      <c r="F607" s="54"/>
      <c r="G607" s="40"/>
      <c r="H607" s="44"/>
      <c r="I607" s="45"/>
    </row>
    <row r="608" spans="1:9" s="1" customFormat="1">
      <c r="A608" s="53"/>
      <c r="B608" s="64"/>
      <c r="C608" s="40"/>
      <c r="D608" s="40"/>
      <c r="E608" s="40"/>
      <c r="F608" s="54"/>
      <c r="G608" s="40"/>
      <c r="H608" s="44"/>
      <c r="I608" s="45"/>
    </row>
    <row r="609" spans="1:9" s="1" customFormat="1">
      <c r="A609" s="53"/>
      <c r="B609" s="64"/>
      <c r="C609" s="40"/>
      <c r="D609" s="40"/>
      <c r="E609" s="40"/>
      <c r="F609" s="54"/>
      <c r="G609" s="40"/>
      <c r="H609" s="44"/>
      <c r="I609" s="45"/>
    </row>
    <row r="610" spans="1:9" s="1" customFormat="1">
      <c r="A610" s="53"/>
      <c r="B610" s="64"/>
      <c r="C610" s="40"/>
      <c r="D610" s="40"/>
      <c r="E610" s="40"/>
      <c r="F610" s="54"/>
      <c r="G610" s="40"/>
      <c r="H610" s="44"/>
      <c r="I610" s="45"/>
    </row>
    <row r="611" spans="1:9" s="1" customFormat="1">
      <c r="A611" s="53"/>
      <c r="B611" s="64"/>
      <c r="C611" s="40"/>
      <c r="D611" s="40"/>
      <c r="E611" s="40"/>
      <c r="F611" s="54"/>
      <c r="G611" s="40"/>
      <c r="H611" s="44"/>
      <c r="I611" s="45"/>
    </row>
    <row r="612" spans="1:9" s="1" customFormat="1">
      <c r="A612" s="53"/>
      <c r="B612" s="64"/>
      <c r="C612" s="40"/>
      <c r="D612" s="40"/>
      <c r="E612" s="40"/>
      <c r="F612" s="54"/>
      <c r="G612" s="40"/>
      <c r="H612" s="44"/>
      <c r="I612" s="45"/>
    </row>
    <row r="613" spans="1:9" s="1" customFormat="1">
      <c r="A613" s="53"/>
      <c r="B613" s="64"/>
      <c r="C613" s="40"/>
      <c r="D613" s="40"/>
      <c r="E613" s="40"/>
      <c r="F613" s="54"/>
      <c r="G613" s="40"/>
      <c r="H613" s="44"/>
      <c r="I613" s="45"/>
    </row>
    <row r="614" spans="1:9" s="1" customFormat="1">
      <c r="A614" s="53"/>
      <c r="B614" s="64"/>
      <c r="C614" s="40"/>
      <c r="D614" s="40"/>
      <c r="E614" s="40"/>
      <c r="F614" s="54"/>
      <c r="G614" s="40"/>
      <c r="H614" s="44"/>
      <c r="I614" s="45"/>
    </row>
    <row r="615" spans="1:9" s="1" customFormat="1">
      <c r="A615" s="53"/>
      <c r="B615" s="64"/>
      <c r="C615" s="40"/>
      <c r="D615" s="40"/>
      <c r="E615" s="40"/>
      <c r="F615" s="54"/>
      <c r="G615" s="40"/>
      <c r="H615" s="44"/>
      <c r="I615" s="45"/>
    </row>
    <row r="616" spans="1:9" s="1" customFormat="1">
      <c r="A616" s="53"/>
      <c r="B616" s="64"/>
      <c r="C616" s="40"/>
      <c r="D616" s="40"/>
      <c r="E616" s="40"/>
      <c r="F616" s="54"/>
      <c r="G616" s="40"/>
      <c r="H616" s="44"/>
      <c r="I616" s="45"/>
    </row>
    <row r="617" spans="1:9" s="1" customFormat="1">
      <c r="A617" s="53"/>
      <c r="B617" s="64"/>
      <c r="C617" s="40"/>
      <c r="D617" s="40"/>
      <c r="E617" s="40"/>
      <c r="F617" s="54"/>
      <c r="G617" s="40"/>
      <c r="H617" s="44"/>
      <c r="I617" s="45"/>
    </row>
    <row r="618" spans="1:9" s="1" customFormat="1">
      <c r="A618" s="53"/>
      <c r="B618" s="64"/>
      <c r="C618" s="40"/>
      <c r="D618" s="40"/>
      <c r="E618" s="40"/>
      <c r="F618" s="54"/>
      <c r="G618" s="40"/>
      <c r="H618" s="44"/>
      <c r="I618" s="45"/>
    </row>
    <row r="619" spans="1:9" s="1" customFormat="1">
      <c r="A619" s="53"/>
      <c r="B619" s="64"/>
      <c r="C619" s="40"/>
      <c r="D619" s="40"/>
      <c r="E619" s="40"/>
      <c r="F619" s="54"/>
      <c r="G619" s="40"/>
      <c r="H619" s="44"/>
      <c r="I619" s="45"/>
    </row>
    <row r="620" spans="1:9" s="1" customFormat="1">
      <c r="A620" s="69"/>
      <c r="B620" s="46"/>
      <c r="C620" s="46"/>
      <c r="D620" s="46"/>
      <c r="E620" s="46"/>
      <c r="F620" s="46"/>
      <c r="G620" s="46"/>
      <c r="H620" s="46"/>
      <c r="I620" s="46"/>
    </row>
    <row r="621" spans="1:9" s="1" customFormat="1">
      <c r="A621"/>
      <c r="B621" s="40"/>
      <c r="C621" s="40"/>
      <c r="D621" s="40"/>
      <c r="E621" s="40"/>
      <c r="F621"/>
      <c r="G621"/>
      <c r="H621"/>
      <c r="I621"/>
    </row>
    <row r="622" spans="1:9" s="1" customFormat="1">
      <c r="A622"/>
      <c r="B622"/>
      <c r="C622" s="65"/>
      <c r="D622" s="65"/>
      <c r="E622" s="66"/>
      <c r="F622" s="67"/>
      <c r="G622" s="65"/>
      <c r="H622"/>
      <c r="I622" s="68"/>
    </row>
    <row r="623" spans="1:9" s="1" customFormat="1" ht="12"/>
    <row r="624" spans="1:9" s="1" customFormat="1" ht="20.25">
      <c r="A624" s="42"/>
      <c r="B624" s="41"/>
      <c r="G624" s="43"/>
      <c r="H624" s="43"/>
      <c r="I624" s="43"/>
    </row>
    <row r="625" spans="1:9" s="1" customFormat="1" ht="20.25">
      <c r="A625" s="506"/>
      <c r="B625" s="563"/>
      <c r="C625" s="563"/>
      <c r="D625" s="147"/>
      <c r="E625" s="43"/>
      <c r="F625" s="43"/>
      <c r="G625" s="43"/>
      <c r="H625" s="43"/>
      <c r="I625" s="43"/>
    </row>
    <row r="626" spans="1:9" s="1" customFormat="1">
      <c r="A626" s="55"/>
      <c r="B626" s="55"/>
      <c r="C626" s="55"/>
      <c r="D626" s="55"/>
      <c r="E626" s="55"/>
      <c r="F626" s="55"/>
      <c r="G626" s="56"/>
      <c r="H626" s="56"/>
      <c r="I626" s="510"/>
    </row>
    <row r="627" spans="1:9" s="1" customFormat="1">
      <c r="A627" s="55"/>
      <c r="B627" s="55"/>
      <c r="C627" s="55"/>
      <c r="D627" s="55"/>
      <c r="E627" s="55"/>
      <c r="F627" s="55"/>
      <c r="G627" s="56"/>
      <c r="H627" s="56"/>
      <c r="I627" s="510"/>
    </row>
    <row r="628" spans="1:9" s="1" customFormat="1">
      <c r="A628"/>
      <c r="B628"/>
      <c r="C628"/>
      <c r="D628"/>
      <c r="E628"/>
      <c r="F628"/>
      <c r="G628"/>
      <c r="H628" s="40"/>
      <c r="I628"/>
    </row>
    <row r="629" spans="1:9" s="1" customFormat="1">
      <c r="A629"/>
      <c r="B629"/>
      <c r="C629"/>
      <c r="D629"/>
      <c r="E629"/>
      <c r="F629"/>
      <c r="G629" s="47"/>
      <c r="H629" s="57"/>
      <c r="I629" s="40"/>
    </row>
    <row r="630" spans="1:9" s="1" customFormat="1">
      <c r="A630"/>
      <c r="B630"/>
      <c r="C630"/>
      <c r="D630"/>
      <c r="E630"/>
      <c r="F630"/>
      <c r="G630" s="48"/>
      <c r="H630" s="57"/>
      <c r="I630" s="40"/>
    </row>
    <row r="631" spans="1:9" s="1" customFormat="1">
      <c r="A631"/>
      <c r="B631"/>
      <c r="C631"/>
      <c r="D631"/>
      <c r="E631"/>
      <c r="F631"/>
      <c r="G631" s="49"/>
      <c r="H631" s="57"/>
      <c r="I631" s="40"/>
    </row>
    <row r="632" spans="1:9" s="1" customFormat="1">
      <c r="A632"/>
      <c r="B632"/>
      <c r="C632"/>
      <c r="D632"/>
      <c r="E632"/>
      <c r="F632"/>
      <c r="G632" s="49"/>
      <c r="H632" s="57"/>
      <c r="I632" s="40"/>
    </row>
    <row r="633" spans="1:9" s="1" customFormat="1">
      <c r="A633"/>
      <c r="B633"/>
      <c r="C633"/>
      <c r="D633"/>
      <c r="E633"/>
      <c r="F633"/>
      <c r="G633" s="49"/>
      <c r="H633" s="57"/>
      <c r="I633" s="40"/>
    </row>
    <row r="634" spans="1:9" s="1" customFormat="1">
      <c r="A634"/>
      <c r="B634"/>
      <c r="C634"/>
      <c r="D634"/>
      <c r="E634"/>
      <c r="F634"/>
      <c r="G634" s="49"/>
      <c r="H634" s="57"/>
      <c r="I634" s="40"/>
    </row>
    <row r="635" spans="1:9" s="1" customFormat="1">
      <c r="A635"/>
      <c r="B635"/>
      <c r="C635"/>
      <c r="D635"/>
      <c r="E635"/>
      <c r="F635"/>
      <c r="G635"/>
      <c r="H635"/>
      <c r="I635"/>
    </row>
    <row r="636" spans="1:9" s="1" customFormat="1">
      <c r="A636" s="55"/>
      <c r="B636" s="55"/>
      <c r="C636" s="55"/>
      <c r="D636" s="55"/>
      <c r="E636" s="55"/>
      <c r="F636" s="55"/>
      <c r="G636" s="509"/>
      <c r="H636" s="58"/>
      <c r="I636" s="58"/>
    </row>
    <row r="637" spans="1:9" s="1" customFormat="1">
      <c r="A637" s="55"/>
      <c r="B637" s="55"/>
      <c r="C637" s="55"/>
      <c r="D637" s="55"/>
      <c r="E637" s="55"/>
      <c r="F637" s="55"/>
      <c r="G637" s="509"/>
      <c r="H637" s="58"/>
      <c r="I637" s="58"/>
    </row>
    <row r="638" spans="1:9" s="1" customFormat="1">
      <c r="A638" s="50"/>
      <c r="B638"/>
      <c r="C638" s="51"/>
      <c r="D638" s="51"/>
      <c r="E638" s="51"/>
      <c r="F638"/>
      <c r="G638" s="51"/>
      <c r="H638" s="59"/>
      <c r="I638" s="40"/>
    </row>
    <row r="639" spans="1:9" s="1" customFormat="1">
      <c r="A639"/>
      <c r="B639"/>
      <c r="C639"/>
      <c r="D639"/>
      <c r="E639"/>
      <c r="F639"/>
      <c r="G639" s="40"/>
      <c r="H639" s="40"/>
      <c r="I639" s="57"/>
    </row>
    <row r="640" spans="1:9" s="1" customFormat="1">
      <c r="A640"/>
      <c r="B640"/>
      <c r="C640"/>
      <c r="D640"/>
      <c r="E640"/>
      <c r="F640"/>
      <c r="G640" s="57"/>
      <c r="H640" s="40"/>
      <c r="I640" s="40"/>
    </row>
    <row r="641" spans="1:9" s="1" customFormat="1">
      <c r="A641"/>
      <c r="B641"/>
      <c r="C641"/>
      <c r="D641"/>
      <c r="E641"/>
      <c r="F641"/>
      <c r="G641" s="38"/>
      <c r="H641" s="40"/>
      <c r="I641" s="40"/>
    </row>
    <row r="642" spans="1:9" s="1" customFormat="1">
      <c r="A642"/>
      <c r="B642"/>
      <c r="C642"/>
      <c r="D642"/>
      <c r="E642"/>
      <c r="F642"/>
      <c r="G642" s="60"/>
      <c r="H642" s="40"/>
      <c r="I642" s="40"/>
    </row>
    <row r="643" spans="1:9" s="1" customFormat="1">
      <c r="A643"/>
      <c r="B643"/>
      <c r="C643"/>
      <c r="D643"/>
      <c r="E643"/>
      <c r="F643" s="40"/>
      <c r="G643"/>
      <c r="H643"/>
      <c r="I643"/>
    </row>
    <row r="644" spans="1:9" s="1" customFormat="1">
      <c r="A644" s="52"/>
      <c r="B644"/>
      <c r="C644"/>
      <c r="D644"/>
      <c r="E644"/>
      <c r="F644" s="40"/>
      <c r="G644"/>
      <c r="H644"/>
      <c r="I644"/>
    </row>
    <row r="645" spans="1:9" s="1" customFormat="1">
      <c r="A645"/>
      <c r="B645" s="61"/>
      <c r="C645"/>
      <c r="D645"/>
      <c r="E645"/>
      <c r="F645"/>
      <c r="G645"/>
      <c r="H645"/>
      <c r="I645"/>
    </row>
    <row r="646" spans="1:9" s="1" customFormat="1">
      <c r="A646" s="507"/>
      <c r="B646" s="62"/>
      <c r="C646" s="62"/>
      <c r="D646" s="62"/>
      <c r="E646" s="507"/>
      <c r="F646" s="507"/>
      <c r="G646" s="507"/>
      <c r="H646" s="507"/>
      <c r="I646" s="507"/>
    </row>
    <row r="647" spans="1:9" s="1" customFormat="1">
      <c r="A647" s="507"/>
      <c r="B647" s="62"/>
      <c r="C647" s="62"/>
      <c r="D647" s="62"/>
      <c r="E647" s="62"/>
      <c r="F647" s="62"/>
      <c r="G647" s="508"/>
      <c r="H647" s="508"/>
      <c r="I647" s="508"/>
    </row>
    <row r="648" spans="1:9" s="1" customFormat="1">
      <c r="A648" s="53"/>
      <c r="B648" s="63"/>
      <c r="C648" s="40"/>
      <c r="D648" s="40"/>
      <c r="E648" s="40"/>
      <c r="F648" s="54"/>
      <c r="G648" s="40"/>
      <c r="H648" s="40"/>
      <c r="I648" s="45"/>
    </row>
    <row r="649" spans="1:9" s="1" customFormat="1">
      <c r="A649" s="53"/>
      <c r="B649" s="63"/>
      <c r="C649" s="40"/>
      <c r="D649" s="40"/>
      <c r="E649" s="40"/>
      <c r="F649" s="54"/>
      <c r="G649" s="40"/>
      <c r="H649" s="44"/>
      <c r="I649" s="45"/>
    </row>
    <row r="650" spans="1:9" s="1" customFormat="1">
      <c r="A650" s="53"/>
      <c r="B650" s="63"/>
      <c r="C650" s="40"/>
      <c r="D650" s="40"/>
      <c r="E650" s="40"/>
      <c r="F650" s="54"/>
      <c r="G650" s="40"/>
      <c r="H650" s="44"/>
      <c r="I650"/>
    </row>
    <row r="651" spans="1:9" s="1" customFormat="1">
      <c r="A651" s="53"/>
      <c r="B651" s="63"/>
      <c r="C651" s="40"/>
      <c r="D651" s="40"/>
      <c r="E651" s="40"/>
      <c r="F651" s="54"/>
      <c r="G651" s="40"/>
      <c r="H651" s="44"/>
      <c r="I651" s="45"/>
    </row>
    <row r="652" spans="1:9" s="1" customFormat="1">
      <c r="A652" s="53"/>
      <c r="B652" s="64"/>
      <c r="C652" s="40"/>
      <c r="D652" s="40"/>
      <c r="E652" s="40"/>
      <c r="F652" s="54"/>
      <c r="G652" s="40"/>
      <c r="H652" s="44"/>
      <c r="I652" s="45"/>
    </row>
    <row r="653" spans="1:9" s="1" customFormat="1">
      <c r="A653" s="53"/>
      <c r="B653" s="64"/>
      <c r="C653" s="40"/>
      <c r="D653" s="40"/>
      <c r="E653" s="40"/>
      <c r="F653" s="54"/>
      <c r="G653" s="40"/>
      <c r="H653" s="44"/>
      <c r="I653" s="45"/>
    </row>
    <row r="654" spans="1:9" s="1" customFormat="1">
      <c r="A654" s="53"/>
      <c r="B654" s="64"/>
      <c r="C654" s="40"/>
      <c r="D654" s="40"/>
      <c r="E654" s="40"/>
      <c r="F654" s="54"/>
      <c r="G654" s="40"/>
      <c r="H654" s="44"/>
      <c r="I654" s="45"/>
    </row>
    <row r="655" spans="1:9" s="1" customFormat="1">
      <c r="A655" s="53"/>
      <c r="B655" s="64"/>
      <c r="C655" s="40"/>
      <c r="D655" s="40"/>
      <c r="E655" s="40"/>
      <c r="F655" s="54"/>
      <c r="G655" s="40"/>
      <c r="H655" s="44"/>
      <c r="I655" s="45"/>
    </row>
    <row r="656" spans="1:9" s="1" customFormat="1">
      <c r="A656" s="53"/>
      <c r="B656" s="64"/>
      <c r="C656" s="40"/>
      <c r="D656" s="40"/>
      <c r="E656" s="40"/>
      <c r="F656" s="54"/>
      <c r="G656" s="40"/>
      <c r="H656" s="44"/>
      <c r="I656" s="45"/>
    </row>
    <row r="657" spans="1:9" s="1" customFormat="1">
      <c r="A657" s="53"/>
      <c r="B657" s="64"/>
      <c r="C657" s="40"/>
      <c r="D657" s="40"/>
      <c r="E657" s="40"/>
      <c r="F657" s="54"/>
      <c r="G657" s="40"/>
      <c r="H657" s="44"/>
      <c r="I657" s="45"/>
    </row>
    <row r="658" spans="1:9" s="1" customFormat="1">
      <c r="A658" s="53"/>
      <c r="B658" s="64"/>
      <c r="C658" s="40"/>
      <c r="D658" s="40"/>
      <c r="E658" s="40"/>
      <c r="F658" s="54"/>
      <c r="G658" s="40"/>
      <c r="H658" s="44"/>
      <c r="I658" s="45"/>
    </row>
    <row r="659" spans="1:9" s="1" customFormat="1">
      <c r="A659" s="53"/>
      <c r="B659" s="64"/>
      <c r="C659" s="40"/>
      <c r="D659" s="40"/>
      <c r="E659" s="40"/>
      <c r="F659" s="54"/>
      <c r="G659" s="40"/>
      <c r="H659" s="44"/>
      <c r="I659" s="45"/>
    </row>
    <row r="660" spans="1:9" s="1" customFormat="1">
      <c r="A660" s="53"/>
      <c r="B660" s="64"/>
      <c r="C660" s="40"/>
      <c r="D660" s="40"/>
      <c r="E660" s="40"/>
      <c r="F660" s="54"/>
      <c r="G660" s="40"/>
      <c r="H660" s="44"/>
      <c r="I660" s="45"/>
    </row>
    <row r="661" spans="1:9" s="1" customFormat="1">
      <c r="A661" s="53"/>
      <c r="B661" s="64"/>
      <c r="C661" s="40"/>
      <c r="D661" s="40"/>
      <c r="E661" s="40"/>
      <c r="F661" s="54"/>
      <c r="G661" s="40"/>
      <c r="H661" s="44"/>
      <c r="I661" s="45"/>
    </row>
    <row r="662" spans="1:9" s="1" customFormat="1">
      <c r="A662" s="53"/>
      <c r="B662" s="64"/>
      <c r="C662" s="40"/>
      <c r="D662" s="40"/>
      <c r="E662" s="40"/>
      <c r="F662" s="54"/>
      <c r="G662" s="40"/>
      <c r="H662" s="44"/>
      <c r="I662" s="45"/>
    </row>
    <row r="663" spans="1:9" s="1" customFormat="1">
      <c r="A663" s="53"/>
      <c r="B663" s="64"/>
      <c r="C663" s="40"/>
      <c r="D663" s="40"/>
      <c r="E663" s="40"/>
      <c r="F663" s="54"/>
      <c r="G663" s="40"/>
      <c r="H663" s="44"/>
      <c r="I663" s="45"/>
    </row>
    <row r="664" spans="1:9" s="1" customFormat="1">
      <c r="A664" s="53"/>
      <c r="B664" s="64"/>
      <c r="C664" s="40"/>
      <c r="D664" s="40"/>
      <c r="E664" s="40"/>
      <c r="F664" s="54"/>
      <c r="G664" s="40"/>
      <c r="H664" s="44"/>
      <c r="I664" s="45"/>
    </row>
    <row r="665" spans="1:9" s="1" customFormat="1">
      <c r="A665" s="53"/>
      <c r="B665" s="64"/>
      <c r="C665" s="40"/>
      <c r="D665" s="40"/>
      <c r="E665" s="40"/>
      <c r="F665" s="54"/>
      <c r="G665" s="40"/>
      <c r="H665" s="44"/>
      <c r="I665" s="45"/>
    </row>
    <row r="666" spans="1:9" s="1" customFormat="1">
      <c r="A666" s="53"/>
      <c r="B666" s="64"/>
      <c r="C666" s="40"/>
      <c r="D666" s="40"/>
      <c r="E666" s="40"/>
      <c r="F666" s="54"/>
      <c r="G666" s="40"/>
      <c r="H666" s="44"/>
      <c r="I666" s="45"/>
    </row>
    <row r="667" spans="1:9" s="1" customFormat="1">
      <c r="A667" s="53"/>
      <c r="B667" s="64"/>
      <c r="C667" s="40"/>
      <c r="D667" s="40"/>
      <c r="E667" s="40"/>
      <c r="F667" s="54"/>
      <c r="G667" s="40"/>
      <c r="H667" s="44"/>
      <c r="I667" s="45"/>
    </row>
    <row r="668" spans="1:9" s="1" customFormat="1">
      <c r="A668" s="53"/>
      <c r="B668" s="64"/>
      <c r="C668" s="40"/>
      <c r="D668" s="40"/>
      <c r="E668" s="40"/>
      <c r="F668" s="54"/>
      <c r="G668" s="40"/>
      <c r="H668" s="44"/>
      <c r="I668" s="45"/>
    </row>
    <row r="669" spans="1:9" s="1" customFormat="1">
      <c r="A669" s="53"/>
      <c r="B669" s="64"/>
      <c r="C669" s="40"/>
      <c r="D669" s="40"/>
      <c r="E669" s="40"/>
      <c r="F669" s="54"/>
      <c r="G669" s="40"/>
      <c r="H669" s="44"/>
      <c r="I669" s="45"/>
    </row>
    <row r="670" spans="1:9" s="1" customFormat="1">
      <c r="A670" s="53"/>
      <c r="B670" s="64"/>
      <c r="C670" s="40"/>
      <c r="D670" s="40"/>
      <c r="E670" s="40"/>
      <c r="F670" s="54"/>
      <c r="G670" s="40"/>
      <c r="H670" s="44"/>
      <c r="I670" s="45"/>
    </row>
    <row r="671" spans="1:9" s="1" customFormat="1">
      <c r="A671" s="53"/>
      <c r="B671" s="64"/>
      <c r="C671" s="40"/>
      <c r="D671" s="40"/>
      <c r="E671" s="40"/>
      <c r="F671" s="54"/>
      <c r="G671" s="40"/>
      <c r="H671" s="44"/>
      <c r="I671" s="45"/>
    </row>
    <row r="672" spans="1:9" s="1" customFormat="1">
      <c r="A672" s="53"/>
      <c r="B672" s="64"/>
      <c r="C672" s="40"/>
      <c r="D672" s="40"/>
      <c r="E672" s="40"/>
      <c r="F672" s="54"/>
      <c r="G672" s="40"/>
      <c r="H672" s="44"/>
      <c r="I672" s="45"/>
    </row>
    <row r="673" spans="1:9" s="1" customFormat="1">
      <c r="A673" s="69"/>
      <c r="B673" s="46"/>
      <c r="C673" s="46"/>
      <c r="D673" s="46"/>
      <c r="E673" s="46"/>
      <c r="F673" s="46"/>
      <c r="G673" s="46"/>
      <c r="H673" s="46"/>
      <c r="I673" s="46"/>
    </row>
    <row r="674" spans="1:9" s="1" customFormat="1">
      <c r="A674"/>
      <c r="B674" s="40"/>
      <c r="C674" s="40"/>
      <c r="D674" s="40"/>
      <c r="E674" s="40"/>
      <c r="F674"/>
      <c r="G674"/>
      <c r="H674"/>
      <c r="I674"/>
    </row>
    <row r="675" spans="1:9" s="1" customFormat="1">
      <c r="A675"/>
      <c r="B675"/>
      <c r="C675" s="65"/>
      <c r="D675" s="65"/>
      <c r="E675" s="66"/>
      <c r="F675" s="67"/>
      <c r="G675" s="65"/>
      <c r="H675"/>
      <c r="I675" s="68"/>
    </row>
    <row r="676" spans="1:9" s="1" customFormat="1" ht="12"/>
  </sheetData>
  <mergeCells count="87">
    <mergeCell ref="Q3:R3"/>
    <mergeCell ref="S3:T3"/>
    <mergeCell ref="M3:N3"/>
    <mergeCell ref="A195:C195"/>
    <mergeCell ref="K3:L3"/>
    <mergeCell ref="G3:H3"/>
    <mergeCell ref="I3:J3"/>
    <mergeCell ref="O3:P3"/>
    <mergeCell ref="I216:I217"/>
    <mergeCell ref="A141:C141"/>
    <mergeCell ref="I142:I143"/>
    <mergeCell ref="G152:G153"/>
    <mergeCell ref="A162:A163"/>
    <mergeCell ref="E162:F162"/>
    <mergeCell ref="G162:G163"/>
    <mergeCell ref="H162:H163"/>
    <mergeCell ref="I162:I163"/>
    <mergeCell ref="G206:G207"/>
    <mergeCell ref="A216:A217"/>
    <mergeCell ref="E216:F216"/>
    <mergeCell ref="G216:G217"/>
    <mergeCell ref="H216:H217"/>
    <mergeCell ref="I196:I197"/>
    <mergeCell ref="A303:C303"/>
    <mergeCell ref="I304:I305"/>
    <mergeCell ref="G314:G315"/>
    <mergeCell ref="A324:A325"/>
    <mergeCell ref="E324:F324"/>
    <mergeCell ref="G324:G325"/>
    <mergeCell ref="H324:H325"/>
    <mergeCell ref="I324:I325"/>
    <mergeCell ref="A250:C250"/>
    <mergeCell ref="I251:I252"/>
    <mergeCell ref="G261:G262"/>
    <mergeCell ref="A271:A272"/>
    <mergeCell ref="E271:F271"/>
    <mergeCell ref="G271:G272"/>
    <mergeCell ref="H271:H272"/>
    <mergeCell ref="I271:I272"/>
    <mergeCell ref="A411:C411"/>
    <mergeCell ref="I412:I413"/>
    <mergeCell ref="G422:G423"/>
    <mergeCell ref="A432:A433"/>
    <mergeCell ref="E432:F432"/>
    <mergeCell ref="G432:G433"/>
    <mergeCell ref="H432:H433"/>
    <mergeCell ref="I432:I433"/>
    <mergeCell ref="A357:C357"/>
    <mergeCell ref="I358:I359"/>
    <mergeCell ref="G368:G369"/>
    <mergeCell ref="A378:A379"/>
    <mergeCell ref="E378:F378"/>
    <mergeCell ref="G378:G379"/>
    <mergeCell ref="H378:H379"/>
    <mergeCell ref="I378:I379"/>
    <mergeCell ref="A519:C519"/>
    <mergeCell ref="I520:I521"/>
    <mergeCell ref="G530:G531"/>
    <mergeCell ref="A540:A541"/>
    <mergeCell ref="E540:F540"/>
    <mergeCell ref="G540:G541"/>
    <mergeCell ref="H540:H541"/>
    <mergeCell ref="I540:I541"/>
    <mergeCell ref="A465:C465"/>
    <mergeCell ref="I466:I467"/>
    <mergeCell ref="G476:G477"/>
    <mergeCell ref="A486:A487"/>
    <mergeCell ref="E486:F486"/>
    <mergeCell ref="G486:G487"/>
    <mergeCell ref="H486:H487"/>
    <mergeCell ref="I486:I487"/>
    <mergeCell ref="A625:C625"/>
    <mergeCell ref="I626:I627"/>
    <mergeCell ref="G636:G637"/>
    <mergeCell ref="A646:A647"/>
    <mergeCell ref="E646:F646"/>
    <mergeCell ref="G646:G647"/>
    <mergeCell ref="H646:H647"/>
    <mergeCell ref="I646:I647"/>
    <mergeCell ref="A572:C572"/>
    <mergeCell ref="I573:I574"/>
    <mergeCell ref="G583:G584"/>
    <mergeCell ref="A593:A594"/>
    <mergeCell ref="E593:F593"/>
    <mergeCell ref="G593:G594"/>
    <mergeCell ref="H593:H594"/>
    <mergeCell ref="I593:I594"/>
  </mergeCells>
  <pageMargins left="0.75" right="0.75" top="1" bottom="1" header="0.5" footer="0.5"/>
  <pageSetup paperSize="8" scale="49" pageOrder="overThenDown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I745"/>
  <sheetViews>
    <sheetView showGridLines="0" topLeftCell="C1" zoomScaleNormal="100" workbookViewId="0">
      <pane ySplit="5" topLeftCell="A6" activePane="bottomLeft" state="frozen"/>
      <selection activeCell="E103" sqref="E103"/>
      <selection pane="bottomLeft" activeCell="H32" sqref="H32:T32"/>
    </sheetView>
  </sheetViews>
  <sheetFormatPr defaultRowHeight="12.75" outlineLevelCol="1"/>
  <cols>
    <col min="1" max="1" width="10.42578125" bestFit="1" customWidth="1"/>
    <col min="2" max="2" width="57.7109375" style="21" customWidth="1"/>
    <col min="3" max="3" width="11.42578125" style="22" bestFit="1" customWidth="1"/>
    <col min="4" max="4" width="10.5703125" style="22" bestFit="1" customWidth="1"/>
    <col min="5" max="5" width="14.42578125" bestFit="1" customWidth="1"/>
    <col min="6" max="7" width="12.28515625" customWidth="1"/>
    <col min="8" max="8" width="11.85546875" customWidth="1"/>
    <col min="9" max="9" width="12.28515625" customWidth="1"/>
    <col min="10" max="13" width="12.28515625" customWidth="1" outlineLevel="1"/>
    <col min="14" max="14" width="12.28515625" customWidth="1"/>
    <col min="15" max="18" width="12.28515625" customWidth="1" outlineLevel="1"/>
    <col min="19" max="19" width="12.28515625" customWidth="1"/>
    <col min="20" max="20" width="12.28515625" customWidth="1" outlineLevel="1"/>
  </cols>
  <sheetData>
    <row r="2" spans="1:21">
      <c r="E2" s="135">
        <v>0</v>
      </c>
      <c r="F2" s="135">
        <f t="shared" ref="F2:T2" si="0">E2+1</f>
        <v>1</v>
      </c>
      <c r="G2" s="135">
        <f t="shared" si="0"/>
        <v>2</v>
      </c>
      <c r="H2" s="135">
        <f t="shared" si="0"/>
        <v>3</v>
      </c>
      <c r="I2" s="135">
        <f t="shared" si="0"/>
        <v>4</v>
      </c>
      <c r="J2" s="135">
        <f t="shared" si="0"/>
        <v>5</v>
      </c>
      <c r="K2" s="135">
        <f t="shared" si="0"/>
        <v>6</v>
      </c>
      <c r="L2" s="135">
        <f t="shared" si="0"/>
        <v>7</v>
      </c>
      <c r="M2" s="135">
        <f t="shared" si="0"/>
        <v>8</v>
      </c>
      <c r="N2" s="135">
        <f t="shared" si="0"/>
        <v>9</v>
      </c>
      <c r="O2" s="135">
        <f t="shared" si="0"/>
        <v>10</v>
      </c>
      <c r="P2" s="135">
        <f t="shared" si="0"/>
        <v>11</v>
      </c>
      <c r="Q2" s="135">
        <f t="shared" si="0"/>
        <v>12</v>
      </c>
      <c r="R2" s="135">
        <f t="shared" si="0"/>
        <v>13</v>
      </c>
      <c r="S2" s="135">
        <f t="shared" si="0"/>
        <v>14</v>
      </c>
      <c r="T2" s="135">
        <f t="shared" si="0"/>
        <v>15</v>
      </c>
    </row>
    <row r="3" spans="1:21">
      <c r="A3" s="1"/>
      <c r="B3" s="564" t="s">
        <v>376</v>
      </c>
      <c r="C3" s="564"/>
      <c r="D3" s="246"/>
      <c r="E3" s="564"/>
      <c r="F3" s="564"/>
      <c r="G3" s="564"/>
      <c r="H3" s="564"/>
      <c r="I3" s="564"/>
      <c r="J3" s="564"/>
      <c r="K3" s="564"/>
      <c r="L3" s="564"/>
      <c r="M3" s="564"/>
      <c r="N3" s="564"/>
      <c r="O3" s="564"/>
      <c r="P3" s="564"/>
      <c r="Q3" s="564"/>
      <c r="R3" s="564"/>
      <c r="S3" s="564"/>
      <c r="T3" s="564"/>
      <c r="U3" s="1"/>
    </row>
    <row r="4" spans="1:21">
      <c r="A4" s="1"/>
      <c r="B4" s="86"/>
      <c r="C4" s="71"/>
      <c r="D4" s="71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"/>
    </row>
    <row r="5" spans="1:21">
      <c r="A5" s="1"/>
      <c r="B5" s="247" t="s">
        <v>12</v>
      </c>
      <c r="C5" s="248" t="s">
        <v>241</v>
      </c>
      <c r="D5" s="248" t="s">
        <v>14</v>
      </c>
      <c r="E5" s="249">
        <f>Założenia!E6</f>
        <v>2024</v>
      </c>
      <c r="F5" s="250">
        <f t="shared" ref="F5:T5" si="1">E5+1</f>
        <v>2025</v>
      </c>
      <c r="G5" s="250">
        <f t="shared" si="1"/>
        <v>2026</v>
      </c>
      <c r="H5" s="250">
        <f t="shared" si="1"/>
        <v>2027</v>
      </c>
      <c r="I5" s="250">
        <f t="shared" si="1"/>
        <v>2028</v>
      </c>
      <c r="J5" s="250">
        <f t="shared" si="1"/>
        <v>2029</v>
      </c>
      <c r="K5" s="250">
        <f t="shared" si="1"/>
        <v>2030</v>
      </c>
      <c r="L5" s="250">
        <f t="shared" si="1"/>
        <v>2031</v>
      </c>
      <c r="M5" s="250">
        <f t="shared" si="1"/>
        <v>2032</v>
      </c>
      <c r="N5" s="250">
        <f t="shared" si="1"/>
        <v>2033</v>
      </c>
      <c r="O5" s="250">
        <f t="shared" si="1"/>
        <v>2034</v>
      </c>
      <c r="P5" s="250">
        <f t="shared" si="1"/>
        <v>2035</v>
      </c>
      <c r="Q5" s="250">
        <f t="shared" si="1"/>
        <v>2036</v>
      </c>
      <c r="R5" s="250">
        <f t="shared" si="1"/>
        <v>2037</v>
      </c>
      <c r="S5" s="250">
        <f t="shared" si="1"/>
        <v>2038</v>
      </c>
      <c r="T5" s="250">
        <f t="shared" si="1"/>
        <v>2039</v>
      </c>
      <c r="U5" s="1"/>
    </row>
    <row r="6" spans="1:21">
      <c r="A6" s="1"/>
      <c r="B6" s="86"/>
      <c r="C6" s="71"/>
      <c r="D6" s="7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>
      <c r="A7" s="1"/>
      <c r="B7" s="86"/>
      <c r="C7" s="71"/>
      <c r="D7" s="71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"/>
    </row>
    <row r="8" spans="1:21" s="1" customFormat="1" ht="12">
      <c r="A8" s="227" t="s">
        <v>249</v>
      </c>
      <c r="B8" s="81" t="s">
        <v>280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1" s="23" customFormat="1">
      <c r="A9" s="37" t="s">
        <v>33</v>
      </c>
      <c r="B9" s="251" t="s">
        <v>303</v>
      </c>
      <c r="C9" s="175" t="s">
        <v>0</v>
      </c>
      <c r="D9" s="252"/>
      <c r="E9" s="107">
        <f>przychody!D7*1000000</f>
        <v>599333.30000000005</v>
      </c>
      <c r="F9" s="107">
        <f>przychody!E7*1000000</f>
        <v>601373.4</v>
      </c>
      <c r="G9" s="107">
        <f>przychody!F7*1000000</f>
        <v>602630.1</v>
      </c>
      <c r="H9" s="107">
        <f>przychody!G7*1000000</f>
        <v>603886.82250557176</v>
      </c>
      <c r="I9" s="107">
        <f>przychody!H7*1000000</f>
        <v>605143.54501114355</v>
      </c>
      <c r="J9" s="107">
        <f>przychody!I7*1000000</f>
        <v>606400.26751671534</v>
      </c>
      <c r="K9" s="107">
        <f>przychody!J7*1000000</f>
        <v>607656.99002228701</v>
      </c>
      <c r="L9" s="107">
        <f>przychody!K7*1000000</f>
        <v>608510.54109203175</v>
      </c>
      <c r="M9" s="107">
        <f>przychody!L7*1000000</f>
        <v>609364.31589731248</v>
      </c>
      <c r="N9" s="107">
        <f>przychody!M7*1000000</f>
        <v>610218.09070259321</v>
      </c>
      <c r="O9" s="107">
        <f>przychody!N7*1000000</f>
        <v>611071.64177233796</v>
      </c>
      <c r="P9" s="107">
        <f>przychody!O7*1000000</f>
        <v>611925.41657761869</v>
      </c>
      <c r="Q9" s="107">
        <f>przychody!P7*1000000</f>
        <v>612779.19138289941</v>
      </c>
      <c r="R9" s="107">
        <f>przychody!Q7*1000000</f>
        <v>613632.96618818014</v>
      </c>
      <c r="S9" s="107">
        <f>przychody!R7*1000000</f>
        <v>614486.51725792489</v>
      </c>
      <c r="T9" s="107">
        <f>przychody!S7*1000000</f>
        <v>615340.29206320562</v>
      </c>
      <c r="U9" s="11"/>
    </row>
    <row r="10" spans="1:21" s="23" customFormat="1">
      <c r="A10" s="37" t="s">
        <v>34</v>
      </c>
      <c r="B10" s="251" t="s">
        <v>74</v>
      </c>
      <c r="C10" s="175" t="s">
        <v>0</v>
      </c>
      <c r="D10" s="252"/>
      <c r="E10" s="107">
        <f t="shared" ref="E10:T10" si="2">E11+E39</f>
        <v>7048197.5173829487</v>
      </c>
      <c r="F10" s="107">
        <f t="shared" si="2"/>
        <v>7062494.5147185149</v>
      </c>
      <c r="G10" s="107">
        <f t="shared" si="2"/>
        <v>7045475.5645739576</v>
      </c>
      <c r="H10" s="107">
        <f t="shared" si="2"/>
        <v>6909192.0584246935</v>
      </c>
      <c r="I10" s="107">
        <f t="shared" si="2"/>
        <v>6944142.7787772762</v>
      </c>
      <c r="J10" s="107">
        <f t="shared" si="2"/>
        <v>6979093.4991298588</v>
      </c>
      <c r="K10" s="107">
        <f t="shared" si="2"/>
        <v>6976057.2402597005</v>
      </c>
      <c r="L10" s="107">
        <f t="shared" si="2"/>
        <v>7010723.8966572806</v>
      </c>
      <c r="M10" s="107">
        <f t="shared" si="2"/>
        <v>7045390.5530548599</v>
      </c>
      <c r="N10" s="107">
        <f t="shared" si="2"/>
        <v>7080057.20945244</v>
      </c>
      <c r="O10" s="107">
        <f t="shared" si="2"/>
        <v>7114723.8658500193</v>
      </c>
      <c r="P10" s="107">
        <f t="shared" si="2"/>
        <v>6947993.7565092789</v>
      </c>
      <c r="Q10" s="107">
        <f t="shared" si="2"/>
        <v>6982660.4129068591</v>
      </c>
      <c r="R10" s="107">
        <f t="shared" si="2"/>
        <v>6971104.8607743327</v>
      </c>
      <c r="S10" s="107">
        <f t="shared" si="2"/>
        <v>7005771.5171719119</v>
      </c>
      <c r="T10" s="107">
        <f t="shared" si="2"/>
        <v>6981009.6197450692</v>
      </c>
      <c r="U10" s="11"/>
    </row>
    <row r="11" spans="1:21" s="23" customFormat="1">
      <c r="A11" s="37" t="s">
        <v>350</v>
      </c>
      <c r="B11" s="251" t="s">
        <v>349</v>
      </c>
      <c r="C11" s="175" t="s">
        <v>0</v>
      </c>
      <c r="D11" s="252"/>
      <c r="E11" s="107">
        <f t="shared" ref="E11:T11" si="3">E12+E32+E34+E35+E36+E33</f>
        <v>6083303.725598949</v>
      </c>
      <c r="F11" s="107">
        <f t="shared" si="3"/>
        <v>6097600.7229345152</v>
      </c>
      <c r="G11" s="107">
        <f t="shared" si="3"/>
        <v>6080581.7727899579</v>
      </c>
      <c r="H11" s="107">
        <f t="shared" si="3"/>
        <v>5944298.2666406939</v>
      </c>
      <c r="I11" s="107">
        <f t="shared" si="3"/>
        <v>5979248.9869932765</v>
      </c>
      <c r="J11" s="107">
        <f t="shared" si="3"/>
        <v>6014199.7073458591</v>
      </c>
      <c r="K11" s="107">
        <f t="shared" si="3"/>
        <v>6011163.4484757008</v>
      </c>
      <c r="L11" s="107">
        <f t="shared" si="3"/>
        <v>6045830.104873281</v>
      </c>
      <c r="M11" s="107">
        <f t="shared" si="3"/>
        <v>6080496.7612708602</v>
      </c>
      <c r="N11" s="107">
        <f t="shared" si="3"/>
        <v>6115163.4176684404</v>
      </c>
      <c r="O11" s="107">
        <f t="shared" si="3"/>
        <v>6149830.0740660196</v>
      </c>
      <c r="P11" s="107">
        <f t="shared" si="3"/>
        <v>5983099.9647252792</v>
      </c>
      <c r="Q11" s="107">
        <f t="shared" si="3"/>
        <v>6017766.6211228594</v>
      </c>
      <c r="R11" s="107">
        <f t="shared" si="3"/>
        <v>6006211.068990333</v>
      </c>
      <c r="S11" s="107">
        <f t="shared" si="3"/>
        <v>6040877.7253879122</v>
      </c>
      <c r="T11" s="107">
        <f t="shared" si="3"/>
        <v>6016115.8279610695</v>
      </c>
      <c r="U11" s="11"/>
    </row>
    <row r="12" spans="1:21" s="11" customFormat="1" ht="12">
      <c r="A12" s="37" t="s">
        <v>48</v>
      </c>
      <c r="B12" s="101" t="s">
        <v>78</v>
      </c>
      <c r="C12" s="253" t="s">
        <v>0</v>
      </c>
      <c r="D12" s="254"/>
      <c r="E12" s="19">
        <f t="shared" ref="E12:T12" si="4">E13+E15+E23</f>
        <v>2080360.5829796337</v>
      </c>
      <c r="F12" s="19">
        <f t="shared" si="4"/>
        <v>2079290.9254788058</v>
      </c>
      <c r="G12" s="19">
        <f t="shared" si="4"/>
        <v>2097274.2518705465</v>
      </c>
      <c r="H12" s="19">
        <f t="shared" si="4"/>
        <v>2026421.5771442107</v>
      </c>
      <c r="I12" s="19">
        <f t="shared" si="4"/>
        <v>2044404.9035359514</v>
      </c>
      <c r="J12" s="19">
        <f t="shared" si="4"/>
        <v>2062388.2299276921</v>
      </c>
      <c r="K12" s="19">
        <f t="shared" si="4"/>
        <v>2060307.1650066378</v>
      </c>
      <c r="L12" s="19">
        <f t="shared" si="4"/>
        <v>2078290.4913983785</v>
      </c>
      <c r="M12" s="19">
        <f t="shared" si="4"/>
        <v>2096273.8177901192</v>
      </c>
      <c r="N12" s="19">
        <f t="shared" si="4"/>
        <v>2114257.1441818597</v>
      </c>
      <c r="O12" s="19">
        <f t="shared" si="4"/>
        <v>2132240.4705736004</v>
      </c>
      <c r="P12" s="19">
        <f t="shared" si="4"/>
        <v>2045749.2341180858</v>
      </c>
      <c r="Q12" s="19">
        <f t="shared" si="4"/>
        <v>2063732.5605098265</v>
      </c>
      <c r="R12" s="19">
        <f t="shared" si="4"/>
        <v>2057738.1183792464</v>
      </c>
      <c r="S12" s="19">
        <f t="shared" si="4"/>
        <v>2075721.4447709869</v>
      </c>
      <c r="T12" s="19">
        <f t="shared" si="4"/>
        <v>2062876.2116340294</v>
      </c>
    </row>
    <row r="13" spans="1:21" s="1" customFormat="1" ht="12">
      <c r="A13" s="82" t="s">
        <v>55</v>
      </c>
      <c r="B13" s="93" t="s">
        <v>281</v>
      </c>
      <c r="C13" s="175" t="s">
        <v>0</v>
      </c>
      <c r="D13" s="252"/>
      <c r="E13" s="20">
        <f>E14</f>
        <v>182831.56</v>
      </c>
      <c r="F13" s="20">
        <f t="shared" ref="F13:T13" si="5">F14</f>
        <v>182831.56</v>
      </c>
      <c r="G13" s="20">
        <f t="shared" si="5"/>
        <v>182831.56</v>
      </c>
      <c r="H13" s="20">
        <f t="shared" si="5"/>
        <v>182831.56</v>
      </c>
      <c r="I13" s="20">
        <f t="shared" si="5"/>
        <v>182831.56</v>
      </c>
      <c r="J13" s="20">
        <f t="shared" si="5"/>
        <v>182831.56</v>
      </c>
      <c r="K13" s="20">
        <f t="shared" si="5"/>
        <v>182831.56</v>
      </c>
      <c r="L13" s="20">
        <f t="shared" si="5"/>
        <v>182831.56</v>
      </c>
      <c r="M13" s="20">
        <f t="shared" si="5"/>
        <v>182831.56</v>
      </c>
      <c r="N13" s="20">
        <f t="shared" si="5"/>
        <v>182831.56</v>
      </c>
      <c r="O13" s="20">
        <f t="shared" si="5"/>
        <v>182831.56</v>
      </c>
      <c r="P13" s="20">
        <f t="shared" si="5"/>
        <v>182831.56</v>
      </c>
      <c r="Q13" s="20">
        <f t="shared" si="5"/>
        <v>182831.56</v>
      </c>
      <c r="R13" s="20">
        <f t="shared" si="5"/>
        <v>182831.56</v>
      </c>
      <c r="S13" s="20">
        <f t="shared" si="5"/>
        <v>182831.56</v>
      </c>
      <c r="T13" s="20">
        <f t="shared" si="5"/>
        <v>182831.56</v>
      </c>
    </row>
    <row r="14" spans="1:21" s="25" customFormat="1" ht="12">
      <c r="A14" s="82"/>
      <c r="B14" s="93" t="s">
        <v>229</v>
      </c>
      <c r="C14" s="175" t="s">
        <v>0</v>
      </c>
      <c r="D14" s="252"/>
      <c r="E14" s="20">
        <f>Założenia!D277*Założenia!D299*Założenia!$E$166*Założenia!$E$154+Założenia!D287*Założenia!D302*Założenia!$E$167*Założenia!$E$154</f>
        <v>182831.56</v>
      </c>
      <c r="F14" s="20">
        <f>Założenia!E277*Założenia!E299*Założenia!$E$166*Założenia!$E$154+Założenia!E287*Założenia!E302*Założenia!$E$167*Założenia!$E$154</f>
        <v>182831.56</v>
      </c>
      <c r="G14" s="20">
        <f>Założenia!F277*Założenia!F299*Założenia!$E$166*Założenia!$E$154+Założenia!F287*Założenia!F302*Założenia!$E$167*Założenia!$E$154</f>
        <v>182831.56</v>
      </c>
      <c r="H14" s="20">
        <f>Założenia!G277*Założenia!G299*Założenia!$E$166*Założenia!$E$154+Założenia!G287*Założenia!G302*Założenia!$E$167*Założenia!$E$154</f>
        <v>182831.56</v>
      </c>
      <c r="I14" s="20">
        <f>Założenia!H277*Założenia!H299*Założenia!$E$166*Założenia!$E$154+Założenia!H287*Założenia!H302*Założenia!$E$167*Założenia!$E$154</f>
        <v>182831.56</v>
      </c>
      <c r="J14" s="20">
        <f>Założenia!I277*Założenia!I299*Założenia!$E$166*Założenia!$E$154+Założenia!I287*Założenia!I302*Założenia!$E$167*Założenia!$E$154</f>
        <v>182831.56</v>
      </c>
      <c r="K14" s="20">
        <f>Założenia!J277*Założenia!J299*Założenia!$E$166*Założenia!$E$154+Założenia!J287*Założenia!J302*Założenia!$E$167*Założenia!$E$154</f>
        <v>182831.56</v>
      </c>
      <c r="L14" s="20">
        <f>Założenia!K277*Założenia!K299*Założenia!$E$166*Założenia!$E$154+Założenia!K287*Założenia!K302*Założenia!$E$167*Założenia!$E$154</f>
        <v>182831.56</v>
      </c>
      <c r="M14" s="20">
        <f>Założenia!L277*Założenia!L299*Założenia!$E$166*Założenia!$E$154+Założenia!L287*Założenia!L302*Założenia!$E$167*Założenia!$E$154</f>
        <v>182831.56</v>
      </c>
      <c r="N14" s="20">
        <f>Założenia!M277*Założenia!M299*Założenia!$E$166*Założenia!$E$154+Założenia!M287*Założenia!M302*Założenia!$E$167*Założenia!$E$154</f>
        <v>182831.56</v>
      </c>
      <c r="O14" s="20">
        <f>Założenia!N277*Założenia!N299*Założenia!$E$166*Założenia!$E$154+Założenia!N287*Założenia!N302*Założenia!$E$167*Założenia!$E$154</f>
        <v>182831.56</v>
      </c>
      <c r="P14" s="20">
        <f>Założenia!O277*Założenia!O299*Założenia!$E$166*Założenia!$E$154+Założenia!O287*Założenia!O302*Założenia!$E$167*Założenia!$E$154</f>
        <v>182831.56</v>
      </c>
      <c r="Q14" s="20">
        <f>Założenia!P277*Założenia!P299*Założenia!$E$166*Założenia!$E$154+Założenia!P287*Założenia!P302*Założenia!$E$167*Założenia!$E$154</f>
        <v>182831.56</v>
      </c>
      <c r="R14" s="20">
        <f>Założenia!Q277*Założenia!Q299*Założenia!$E$166*Założenia!$E$154+Założenia!Q287*Założenia!Q302*Założenia!$E$167*Założenia!$E$154</f>
        <v>182831.56</v>
      </c>
      <c r="S14" s="20">
        <f>Założenia!R277*Założenia!R299*Założenia!$E$166*Założenia!$E$154+Założenia!R287*Założenia!R302*Założenia!$E$167*Założenia!$E$154</f>
        <v>182831.56</v>
      </c>
      <c r="T14" s="20">
        <f>Założenia!S277*Założenia!S299*Założenia!$E$166*Założenia!$E$154+Założenia!S287*Założenia!S302*Założenia!$E$167*Założenia!$E$154</f>
        <v>182831.56</v>
      </c>
      <c r="U14" s="1"/>
    </row>
    <row r="15" spans="1:21" s="1" customFormat="1" ht="12">
      <c r="A15" s="82" t="s">
        <v>56</v>
      </c>
      <c r="B15" s="93" t="s">
        <v>206</v>
      </c>
      <c r="C15" s="175" t="s">
        <v>0</v>
      </c>
      <c r="D15" s="252"/>
      <c r="E15" s="20">
        <f>E16</f>
        <v>1460540.8616844919</v>
      </c>
      <c r="F15" s="20">
        <f t="shared" ref="F15:T15" si="6">F16</f>
        <v>1446019.8568094918</v>
      </c>
      <c r="G15" s="20">
        <f t="shared" si="6"/>
        <v>1446019.8568094918</v>
      </c>
      <c r="H15" s="20">
        <f t="shared" si="6"/>
        <v>1444531.4410227272</v>
      </c>
      <c r="I15" s="20">
        <f t="shared" si="6"/>
        <v>1444531.4410227272</v>
      </c>
      <c r="J15" s="20">
        <f t="shared" si="6"/>
        <v>1444531.4410227272</v>
      </c>
      <c r="K15" s="20">
        <f t="shared" si="6"/>
        <v>1437312.2828468899</v>
      </c>
      <c r="L15" s="20">
        <f t="shared" si="6"/>
        <v>1437312.2828468899</v>
      </c>
      <c r="M15" s="20">
        <f t="shared" si="6"/>
        <v>1437312.2828468899</v>
      </c>
      <c r="N15" s="20">
        <f t="shared" si="6"/>
        <v>1437312.2828468899</v>
      </c>
      <c r="O15" s="20">
        <f t="shared" si="6"/>
        <v>1437312.2828468899</v>
      </c>
      <c r="P15" s="20">
        <f t="shared" si="6"/>
        <v>1437312.2828468899</v>
      </c>
      <c r="Q15" s="20">
        <f t="shared" si="6"/>
        <v>1437312.2828468899</v>
      </c>
      <c r="R15" s="20">
        <f t="shared" si="6"/>
        <v>1437312.2828468899</v>
      </c>
      <c r="S15" s="20">
        <f t="shared" si="6"/>
        <v>1437312.2828468899</v>
      </c>
      <c r="T15" s="20">
        <f t="shared" si="6"/>
        <v>1437312.2828468899</v>
      </c>
    </row>
    <row r="16" spans="1:21" s="1" customFormat="1" ht="12">
      <c r="A16" s="82"/>
      <c r="B16" s="94" t="s">
        <v>314</v>
      </c>
      <c r="C16" s="175" t="s">
        <v>0</v>
      </c>
      <c r="D16" s="252"/>
      <c r="E16" s="20">
        <f>SUM(E17:E22)</f>
        <v>1460540.8616844919</v>
      </c>
      <c r="F16" s="20">
        <f t="shared" ref="F16:T16" si="7">SUM(F17:F22)</f>
        <v>1446019.8568094918</v>
      </c>
      <c r="G16" s="20">
        <f t="shared" si="7"/>
        <v>1446019.8568094918</v>
      </c>
      <c r="H16" s="20">
        <f t="shared" si="7"/>
        <v>1444531.4410227272</v>
      </c>
      <c r="I16" s="20">
        <f t="shared" si="7"/>
        <v>1444531.4410227272</v>
      </c>
      <c r="J16" s="20">
        <f t="shared" si="7"/>
        <v>1444531.4410227272</v>
      </c>
      <c r="K16" s="20">
        <f t="shared" si="7"/>
        <v>1437312.2828468899</v>
      </c>
      <c r="L16" s="20">
        <f t="shared" si="7"/>
        <v>1437312.2828468899</v>
      </c>
      <c r="M16" s="20">
        <f t="shared" si="7"/>
        <v>1437312.2828468899</v>
      </c>
      <c r="N16" s="20">
        <f t="shared" si="7"/>
        <v>1437312.2828468899</v>
      </c>
      <c r="O16" s="20">
        <f t="shared" si="7"/>
        <v>1437312.2828468899</v>
      </c>
      <c r="P16" s="20">
        <f t="shared" si="7"/>
        <v>1437312.2828468899</v>
      </c>
      <c r="Q16" s="20">
        <f t="shared" si="7"/>
        <v>1437312.2828468899</v>
      </c>
      <c r="R16" s="20">
        <f t="shared" si="7"/>
        <v>1437312.2828468899</v>
      </c>
      <c r="S16" s="20">
        <f t="shared" si="7"/>
        <v>1437312.2828468899</v>
      </c>
      <c r="T16" s="20">
        <f t="shared" si="7"/>
        <v>1437312.2828468899</v>
      </c>
    </row>
    <row r="17" spans="1:20" s="1" customFormat="1" ht="12">
      <c r="A17" s="82"/>
      <c r="B17" s="93" t="s">
        <v>361</v>
      </c>
      <c r="C17" s="175" t="s">
        <v>0</v>
      </c>
      <c r="D17" s="252"/>
      <c r="E17" s="20">
        <f>(Założenia!D268*Założenia!$D$297*Założenia!$E51/100+Założenia!D280*Założenia!$D$301*Założenia!$G51/100)*Założenia!$E$153</f>
        <v>0</v>
      </c>
      <c r="F17" s="20">
        <f>(Założenia!E268*Założenia!$D$297*Założenia!$E51/100+Założenia!E280*Założenia!$D$301*Założenia!$G51/100)*Założenia!$E$153</f>
        <v>0</v>
      </c>
      <c r="G17" s="20">
        <f>(Założenia!F268*Założenia!$D$297*Założenia!$E51/100+Założenia!F280*Założenia!$D$301*Założenia!$G51/100)*Założenia!$E$153</f>
        <v>0</v>
      </c>
      <c r="H17" s="20">
        <f>(Założenia!G268*Założenia!$D$297*Założenia!$E51/100+Założenia!G280*Założenia!$D$301*Założenia!$G51/100)*Założenia!$E$153</f>
        <v>0</v>
      </c>
      <c r="I17" s="20">
        <f>(Założenia!H268*Założenia!$D$297*Założenia!$E51/100+Założenia!H280*Założenia!$D$301*Założenia!$G51/100)*Założenia!$E$153</f>
        <v>0</v>
      </c>
      <c r="J17" s="20">
        <f>(Założenia!I268*Założenia!$D$297*Założenia!$E51/100+Założenia!I280*Założenia!$D$301*Założenia!$G51/100)*Założenia!$E$153</f>
        <v>0</v>
      </c>
      <c r="K17" s="20">
        <f>(Założenia!J268*Założenia!$D$297*Założenia!$E51/100+Założenia!J280*Założenia!$D$301*Założenia!$G51/100)*Założenia!$E$153</f>
        <v>0</v>
      </c>
      <c r="L17" s="20">
        <f>(Założenia!K268*Założenia!$D$297*Założenia!$E51/100+Założenia!K280*Założenia!$D$301*Założenia!$G51/100)*Założenia!$E$153</f>
        <v>0</v>
      </c>
      <c r="M17" s="20">
        <f>(Założenia!L268*Założenia!$D$297*Założenia!$E51/100+Założenia!L280*Założenia!$D$301*Założenia!$G51/100)*Założenia!$E$153</f>
        <v>0</v>
      </c>
      <c r="N17" s="20">
        <f>(Założenia!M268*Założenia!$D$297*Założenia!$E51/100+Założenia!M280*Założenia!$D$301*Założenia!$G51/100)*Założenia!$E$153</f>
        <v>0</v>
      </c>
      <c r="O17" s="20">
        <f>(Założenia!N268*Założenia!$D$297*Założenia!$E51/100+Założenia!N280*Założenia!$D$301*Założenia!$G51/100)*Założenia!$E$153</f>
        <v>0</v>
      </c>
      <c r="P17" s="20">
        <f>(Założenia!O268*Założenia!$D$297*Założenia!$E51/100+Założenia!O280*Założenia!$D$301*Założenia!$G51/100)*Założenia!$E$153</f>
        <v>0</v>
      </c>
      <c r="Q17" s="20">
        <f>(Założenia!P268*Założenia!$D$297*Założenia!$E51/100+Założenia!P280*Założenia!$D$301*Założenia!$G51/100)*Założenia!$E$153</f>
        <v>0</v>
      </c>
      <c r="R17" s="20">
        <f>(Założenia!Q268*Założenia!$D$297*Założenia!$E51/100+Założenia!Q280*Założenia!$D$301*Założenia!$G51/100)*Założenia!$E$153</f>
        <v>0</v>
      </c>
      <c r="S17" s="20">
        <f>(Założenia!R268*Założenia!$D$297*Założenia!$E51/100+Założenia!R280*Założenia!$D$301*Założenia!$G51/100)*Założenia!$E$153</f>
        <v>0</v>
      </c>
      <c r="T17" s="20">
        <f>(Założenia!S268*Założenia!$D$297*Założenia!$E51/100+Założenia!S280*Założenia!$D$301*Założenia!$G51/100)*Założenia!$E$153</f>
        <v>0</v>
      </c>
    </row>
    <row r="18" spans="1:20" s="1" customFormat="1" ht="12">
      <c r="A18" s="82"/>
      <c r="B18" s="93" t="s">
        <v>362</v>
      </c>
      <c r="C18" s="175" t="s">
        <v>0</v>
      </c>
      <c r="D18" s="252"/>
      <c r="E18" s="20">
        <f>(Założenia!D269*Założenia!D$297*Założenia!$E52/100+Założenia!D281*Założenia!D$301*Założenia!$G52/100)*Założenia!$E$153</f>
        <v>0</v>
      </c>
      <c r="F18" s="20">
        <f>(Założenia!E269*Założenia!E$297*Założenia!$E52/100+Założenia!E281*Założenia!E$301*Założenia!$G52/100)*Założenia!$E$153</f>
        <v>0</v>
      </c>
      <c r="G18" s="20">
        <f>(Założenia!F269*Założenia!F$297*Założenia!$E52/100+Założenia!F281*Założenia!F$301*Założenia!$G52/100)*Założenia!$E$153</f>
        <v>0</v>
      </c>
      <c r="H18" s="20">
        <f>(Założenia!G269*Założenia!G$297*Założenia!$E52/100+Założenia!G281*Założenia!G$301*Założenia!$G52/100)*Założenia!$E$153</f>
        <v>0</v>
      </c>
      <c r="I18" s="20">
        <f>(Założenia!H269*Założenia!H$297*Założenia!$E52/100+Założenia!H281*Założenia!H$301*Założenia!$G52/100)*Założenia!$E$153</f>
        <v>0</v>
      </c>
      <c r="J18" s="20">
        <f>(Założenia!I269*Założenia!I$297*Założenia!$E52/100+Założenia!I281*Założenia!I$301*Założenia!$G52/100)*Założenia!$E$153</f>
        <v>0</v>
      </c>
      <c r="K18" s="20">
        <f>(Założenia!J269*Założenia!J$297*Założenia!$E52/100+Założenia!J281*Założenia!J$301*Założenia!$G52/100)*Założenia!$E$153</f>
        <v>0</v>
      </c>
      <c r="L18" s="20">
        <f>(Założenia!K269*Założenia!K$297*Założenia!$E52/100+Założenia!K281*Założenia!K$301*Założenia!$G52/100)*Założenia!$E$153</f>
        <v>0</v>
      </c>
      <c r="M18" s="20">
        <f>(Założenia!L269*Założenia!L$297*Założenia!$E52/100+Założenia!L281*Założenia!L$301*Założenia!$G52/100)*Założenia!$E$153</f>
        <v>0</v>
      </c>
      <c r="N18" s="20">
        <f>(Założenia!M269*Założenia!M$297*Założenia!$E52/100+Założenia!M281*Założenia!M$301*Założenia!$G52/100)*Założenia!$E$153</f>
        <v>0</v>
      </c>
      <c r="O18" s="20">
        <f>(Założenia!N269*Założenia!N$297*Założenia!$E52/100+Założenia!N281*Założenia!N$301*Założenia!$G52/100)*Założenia!$E$153</f>
        <v>0</v>
      </c>
      <c r="P18" s="20">
        <f>(Założenia!O269*Założenia!O$297*Założenia!$E52/100+Założenia!O281*Założenia!O$301*Założenia!$G52/100)*Założenia!$E$153</f>
        <v>0</v>
      </c>
      <c r="Q18" s="20">
        <f>(Założenia!P269*Założenia!P$297*Założenia!$E52/100+Założenia!P281*Założenia!P$301*Założenia!$G52/100)*Założenia!$E$153</f>
        <v>0</v>
      </c>
      <c r="R18" s="20">
        <f>(Założenia!Q269*Założenia!Q$297*Założenia!$E52/100+Założenia!Q281*Założenia!Q$301*Założenia!$G52/100)*Założenia!$E$153</f>
        <v>0</v>
      </c>
      <c r="S18" s="20">
        <f>(Założenia!R269*Założenia!R$297*Założenia!$E52/100+Założenia!R281*Założenia!R$301*Założenia!$G52/100)*Założenia!$E$153</f>
        <v>0</v>
      </c>
      <c r="T18" s="20">
        <f>(Założenia!S269*Założenia!S$297*Założenia!$E52/100+Założenia!S281*Założenia!S$301*Założenia!$G52/100)*Założenia!$E$153</f>
        <v>0</v>
      </c>
    </row>
    <row r="19" spans="1:20" s="1" customFormat="1" ht="12">
      <c r="A19" s="82"/>
      <c r="B19" s="93" t="s">
        <v>363</v>
      </c>
      <c r="C19" s="175" t="s">
        <v>0</v>
      </c>
      <c r="D19" s="252"/>
      <c r="E19" s="20">
        <f>(Założenia!D270*Założenia!D$297*Założenia!$E53/100+Założenia!D282*Założenia!D$301*Założenia!$G53/100)*Założenia!$E$153</f>
        <v>0</v>
      </c>
      <c r="F19" s="20">
        <f>(Założenia!E270*Założenia!E$297*Założenia!$E53/100+Założenia!E282*Założenia!E$301*Założenia!$G53/100)*Założenia!$E$153</f>
        <v>0</v>
      </c>
      <c r="G19" s="20">
        <f>(Założenia!F270*Założenia!F$297*Założenia!$E53/100+Założenia!F282*Założenia!F$301*Założenia!$G53/100)*Założenia!$E$153</f>
        <v>0</v>
      </c>
      <c r="H19" s="20">
        <f>(Założenia!G270*Założenia!G$297*Założenia!$E53/100+Założenia!G282*Założenia!G$301*Założenia!$G53/100)*Założenia!$E$153</f>
        <v>0</v>
      </c>
      <c r="I19" s="20">
        <f>(Założenia!H270*Założenia!H$297*Założenia!$E53/100+Założenia!H282*Założenia!H$301*Założenia!$G53/100)*Założenia!$E$153</f>
        <v>0</v>
      </c>
      <c r="J19" s="20">
        <f>(Założenia!I270*Założenia!I$297*Założenia!$E53/100+Założenia!I282*Założenia!I$301*Założenia!$G53/100)*Założenia!$E$153</f>
        <v>0</v>
      </c>
      <c r="K19" s="20">
        <f>(Założenia!J270*Założenia!J$297*Założenia!$E53/100+Założenia!J282*Założenia!J$301*Założenia!$G53/100)*Założenia!$E$153</f>
        <v>0</v>
      </c>
      <c r="L19" s="20">
        <f>(Założenia!K270*Założenia!K$297*Założenia!$E53/100+Założenia!K282*Założenia!K$301*Założenia!$G53/100)*Założenia!$E$153</f>
        <v>0</v>
      </c>
      <c r="M19" s="20">
        <f>(Założenia!L270*Założenia!L$297*Założenia!$E53/100+Założenia!L282*Założenia!L$301*Założenia!$G53/100)*Założenia!$E$153</f>
        <v>0</v>
      </c>
      <c r="N19" s="20">
        <f>(Założenia!M270*Założenia!M$297*Założenia!$E53/100+Założenia!M282*Założenia!M$301*Założenia!$G53/100)*Założenia!$E$153</f>
        <v>0</v>
      </c>
      <c r="O19" s="20">
        <f>(Założenia!N270*Założenia!N$297*Założenia!$E53/100+Założenia!N282*Założenia!N$301*Założenia!$G53/100)*Założenia!$E$153</f>
        <v>0</v>
      </c>
      <c r="P19" s="20">
        <f>(Założenia!O270*Założenia!O$297*Założenia!$E53/100+Założenia!O282*Założenia!O$301*Założenia!$G53/100)*Założenia!$E$153</f>
        <v>0</v>
      </c>
      <c r="Q19" s="20">
        <f>(Założenia!P270*Założenia!P$297*Założenia!$E53/100+Założenia!P282*Założenia!P$301*Założenia!$G53/100)*Założenia!$E$153</f>
        <v>0</v>
      </c>
      <c r="R19" s="20">
        <f>(Założenia!Q270*Założenia!Q$297*Założenia!$E53/100+Założenia!Q282*Założenia!Q$301*Założenia!$G53/100)*Założenia!$E$153</f>
        <v>0</v>
      </c>
      <c r="S19" s="20">
        <f>(Założenia!R270*Założenia!R$297*Założenia!$E53/100+Założenia!R282*Założenia!R$301*Założenia!$G53/100)*Założenia!$E$153</f>
        <v>0</v>
      </c>
      <c r="T19" s="20">
        <f>(Założenia!S270*Założenia!S$297*Założenia!$E53/100+Założenia!S282*Założenia!S$301*Założenia!$G53/100)*Założenia!$E$153</f>
        <v>0</v>
      </c>
    </row>
    <row r="20" spans="1:20" s="1" customFormat="1" ht="12">
      <c r="A20" s="82"/>
      <c r="B20" s="93" t="s">
        <v>364</v>
      </c>
      <c r="C20" s="175" t="s">
        <v>0</v>
      </c>
      <c r="D20" s="252"/>
      <c r="E20" s="20">
        <f>(Założenia!D271*Założenia!D$297*Założenia!$E54/100+Założenia!D283*Założenia!D$301*Założenia!$G54/100)*Założenia!$E$153</f>
        <v>0</v>
      </c>
      <c r="F20" s="20">
        <f>(Założenia!E271*Założenia!E$297*Założenia!$E54/100+Założenia!E283*Założenia!E$301*Założenia!$G54/100)*Założenia!$E$153</f>
        <v>0</v>
      </c>
      <c r="G20" s="20">
        <f>(Założenia!F271*Założenia!F$297*Założenia!$E54/100+Założenia!F283*Założenia!F$301*Założenia!$G54/100)*Założenia!$E$153</f>
        <v>0</v>
      </c>
      <c r="H20" s="20">
        <f>(Założenia!G271*Założenia!G$297*Założenia!$E54/100+Założenia!G283*Założenia!G$301*Założenia!$G54/100)*Założenia!$E$153</f>
        <v>0</v>
      </c>
      <c r="I20" s="20">
        <f>(Założenia!H271*Założenia!H$297*Założenia!$E54/100+Założenia!H283*Założenia!H$301*Założenia!$G54/100)*Założenia!$E$153</f>
        <v>0</v>
      </c>
      <c r="J20" s="20">
        <f>(Założenia!I271*Założenia!I$297*Założenia!$E54/100+Założenia!I283*Założenia!I$301*Założenia!$G54/100)*Założenia!$E$153</f>
        <v>0</v>
      </c>
      <c r="K20" s="20">
        <f>(Założenia!J271*Założenia!J$297*Założenia!$E54/100+Założenia!J283*Założenia!J$301*Założenia!$G54/100)*Założenia!$E$153</f>
        <v>0</v>
      </c>
      <c r="L20" s="20">
        <f>(Założenia!K271*Założenia!K$297*Założenia!$E54/100+Założenia!K283*Założenia!K$301*Założenia!$G54/100)*Założenia!$E$153</f>
        <v>0</v>
      </c>
      <c r="M20" s="20">
        <f>(Założenia!L271*Założenia!L$297*Założenia!$E54/100+Założenia!L283*Założenia!L$301*Założenia!$G54/100)*Założenia!$E$153</f>
        <v>0</v>
      </c>
      <c r="N20" s="20">
        <f>(Założenia!M271*Założenia!M$297*Założenia!$E54/100+Założenia!M283*Założenia!M$301*Założenia!$G54/100)*Założenia!$E$153</f>
        <v>0</v>
      </c>
      <c r="O20" s="20">
        <f>(Założenia!N271*Założenia!N$297*Założenia!$E54/100+Założenia!N283*Założenia!N$301*Założenia!$G54/100)*Założenia!$E$153</f>
        <v>0</v>
      </c>
      <c r="P20" s="20">
        <f>(Założenia!O271*Założenia!O$297*Założenia!$E54/100+Założenia!O283*Założenia!O$301*Założenia!$G54/100)*Założenia!$E$153</f>
        <v>0</v>
      </c>
      <c r="Q20" s="20">
        <f>(Założenia!P271*Założenia!P$297*Założenia!$E54/100+Założenia!P283*Założenia!P$301*Założenia!$G54/100)*Założenia!$E$153</f>
        <v>0</v>
      </c>
      <c r="R20" s="20">
        <f>(Założenia!Q271*Założenia!Q$297*Założenia!$E54/100+Założenia!Q283*Założenia!Q$301*Założenia!$G54/100)*Założenia!$E$153</f>
        <v>0</v>
      </c>
      <c r="S20" s="20">
        <f>(Założenia!R271*Założenia!R$297*Założenia!$E54/100+Założenia!R283*Założenia!R$301*Założenia!$G54/100)*Założenia!$E$153</f>
        <v>0</v>
      </c>
      <c r="T20" s="20">
        <f>(Założenia!S271*Założenia!S$297*Założenia!$E54/100+Założenia!S283*Założenia!S$301*Założenia!$G54/100)*Założenia!$E$153</f>
        <v>0</v>
      </c>
    </row>
    <row r="21" spans="1:20" s="1" customFormat="1" ht="12">
      <c r="A21" s="82"/>
      <c r="B21" s="93" t="s">
        <v>365</v>
      </c>
      <c r="C21" s="175" t="s">
        <v>0</v>
      </c>
      <c r="D21" s="252"/>
      <c r="E21" s="20">
        <f>(Założenia!D272*Założenia!D$297*Założenia!$E55/100+Założenia!D274*Założenia!D$297*Założenia!$E163/100+Założenia!D284*Założenia!D$301*Założenia!$G55/100)*Założenia!$E$153</f>
        <v>130747.77037433152</v>
      </c>
      <c r="F21" s="20">
        <f>(Założenia!E272*Założenia!E$297*Założenia!$E55/100+Założenia!E284*Założenia!E$301*Założenia!$G55/100)*Założenia!$E$153</f>
        <v>129008.72787433151</v>
      </c>
      <c r="G21" s="20">
        <f>(Założenia!F272*Założenia!F$297*Założenia!$E55/100+Założenia!F284*Założenia!F$301*Założenia!$G55/100)*Założenia!$E$153</f>
        <v>129008.72787433151</v>
      </c>
      <c r="H21" s="20">
        <f>(Założenia!G272*Założenia!G$297*Założenia!$E55/100+Założenia!G284*Założenia!G$301*Założenia!$G55/100)*Założenia!$E$153</f>
        <v>129315.61772727272</v>
      </c>
      <c r="I21" s="20">
        <f>(Założenia!H272*Założenia!H$297*Założenia!$E55/100+Założenia!H284*Założenia!H$301*Założenia!$G55/100)*Założenia!$E$153</f>
        <v>129315.61772727272</v>
      </c>
      <c r="J21" s="20">
        <f>(Założenia!I272*Założenia!I$297*Założenia!$E55/100+Założenia!I284*Założenia!I$301*Założenia!$G55/100)*Założenia!$E$153</f>
        <v>129315.61772727272</v>
      </c>
      <c r="K21" s="20">
        <f>(Założenia!J272*Założenia!J$297*Założenia!$E55/100+Założenia!J284*Założenia!J$301*Założenia!$G55/100)*Założenia!$E$153</f>
        <v>0</v>
      </c>
      <c r="L21" s="20">
        <f>(Założenia!K272*Założenia!K$297*Założenia!$E55/100+Założenia!K284*Założenia!K$301*Założenia!$G55/100)*Założenia!$E$153</f>
        <v>0</v>
      </c>
      <c r="M21" s="20">
        <f>(Założenia!L272*Założenia!L$297*Założenia!$E55/100+Założenia!L284*Założenia!L$301*Założenia!$G55/100)*Założenia!$E$153</f>
        <v>0</v>
      </c>
      <c r="N21" s="20">
        <f>(Założenia!M272*Założenia!M$297*Założenia!$E55/100+Założenia!M284*Założenia!M$301*Założenia!$G55/100)*Założenia!$E$153</f>
        <v>0</v>
      </c>
      <c r="O21" s="20">
        <f>(Założenia!N272*Założenia!N$297*Założenia!$E55/100+Założenia!N284*Założenia!N$301*Założenia!$G55/100)*Założenia!$E$153</f>
        <v>0</v>
      </c>
      <c r="P21" s="20">
        <f>(Założenia!O272*Założenia!O$297*Założenia!$E55/100+Założenia!O284*Założenia!O$301*Założenia!$G55/100)*Założenia!$E$153</f>
        <v>0</v>
      </c>
      <c r="Q21" s="20">
        <f>(Założenia!P272*Założenia!P$297*Założenia!$E55/100+Założenia!P284*Założenia!P$301*Założenia!$G55/100)*Założenia!$E$153</f>
        <v>0</v>
      </c>
      <c r="R21" s="20">
        <f>(Założenia!Q272*Założenia!Q$297*Założenia!$E55/100+Założenia!Q284*Założenia!Q$301*Założenia!$G55/100)*Założenia!$E$153</f>
        <v>0</v>
      </c>
      <c r="S21" s="20">
        <f>(Założenia!R272*Założenia!R$297*Założenia!$E55/100+Założenia!R284*Założenia!R$301*Założenia!$G55/100)*Założenia!$E$153</f>
        <v>0</v>
      </c>
      <c r="T21" s="20">
        <f>(Założenia!S272*Założenia!S$297*Założenia!$E55/100+Założenia!S284*Założenia!S$301*Założenia!$G55/100)*Założenia!$E$153</f>
        <v>0</v>
      </c>
    </row>
    <row r="22" spans="1:20" s="1" customFormat="1" ht="12">
      <c r="A22" s="82"/>
      <c r="B22" s="93" t="s">
        <v>367</v>
      </c>
      <c r="C22" s="175" t="s">
        <v>0</v>
      </c>
      <c r="D22" s="252"/>
      <c r="E22" s="20">
        <f>(Założenia!D273*Założenia!D$297*Założenia!$E56/100+Założenia!D275*Założenia!D$297*Założenia!$E163/100+Założenia!D285*Założenia!D$301*Założenia!$G56/100+Założenia!D286*Założenia!D$301*Założenia!$E164/100)*Założenia!$E$153</f>
        <v>1329793.0913101602</v>
      </c>
      <c r="F22" s="20">
        <f>(Założenia!E273*Założenia!E$297*Założenia!$E56/100+Założenia!E275*Założenia!E$297*Założenia!$E163/100+Założenia!E285*Założenia!E$301*Założenia!$G56/100+Założenia!E286*Założenia!E$301*Założenia!$E164/100)*Założenia!$E$153</f>
        <v>1317011.1289351603</v>
      </c>
      <c r="G22" s="20">
        <f>(Założenia!F273*Założenia!F$297*Założenia!$E56/100+Założenia!F275*Założenia!F$297*Założenia!$E163/100+Założenia!F285*Założenia!F$301*Założenia!$G56/100+Założenia!F286*Założenia!F$301*Założenia!$E164/100)*Założenia!$E$153</f>
        <v>1317011.1289351603</v>
      </c>
      <c r="H22" s="20">
        <f>(Założenia!G273*Założenia!G$297*Założenia!$E56/100+Założenia!G275*Założenia!G$297*Założenia!$E163/100+Założenia!G285*Założenia!G$301*Założenia!$G56/100+Założenia!G286*Założenia!G$301*Założenia!$E164/100)*Założenia!$E$153</f>
        <v>1315215.8232954545</v>
      </c>
      <c r="I22" s="20">
        <f>(Założenia!H273*Założenia!H$297*Założenia!$E56/100+Założenia!H275*Założenia!H$297*Założenia!$E163/100+Założenia!H285*Założenia!H$301*Założenia!$G56/100+Założenia!H286*Założenia!H$301*Założenia!$E164/100)*Założenia!$E$153</f>
        <v>1315215.8232954545</v>
      </c>
      <c r="J22" s="20">
        <f>(Założenia!I273*Założenia!I$297*Założenia!$E56/100+Założenia!I275*Założenia!I$297*Założenia!$E163/100+Założenia!I285*Założenia!I$301*Założenia!$G56/100+Założenia!I286*Założenia!I$301*Założenia!$E164/100)*Założenia!$E$153</f>
        <v>1315215.8232954545</v>
      </c>
      <c r="K22" s="20">
        <f>(Założenia!J273*Założenia!J$297*Założenia!$E56/100+Założenia!J275*Założenia!J$297*Założenia!$E163/100+Założenia!J285*Założenia!J$301*Założenia!$G56/100+Założenia!J286*Założenia!J$301*Założenia!$E164/100)*Założenia!$E$153</f>
        <v>1437312.2828468899</v>
      </c>
      <c r="L22" s="20">
        <f>(Założenia!K273*Założenia!K$297*Założenia!$E56/100+Założenia!K275*Założenia!K$297*Założenia!$E163/100+Założenia!K285*Założenia!K$301*Założenia!$G56/100+Założenia!K286*Założenia!K$301*Założenia!$E164/100)*Założenia!$E$153</f>
        <v>1437312.2828468899</v>
      </c>
      <c r="M22" s="20">
        <f>(Założenia!L273*Założenia!L$297*Założenia!$E56/100+Założenia!L275*Założenia!L$297*Założenia!$E163/100+Założenia!L285*Założenia!L$301*Założenia!$G56/100+Założenia!L286*Założenia!L$301*Założenia!$E164/100)*Założenia!$E$153</f>
        <v>1437312.2828468899</v>
      </c>
      <c r="N22" s="20">
        <f>(Założenia!M273*Założenia!M$297*Założenia!$E56/100+Założenia!M275*Założenia!M$297*Założenia!$E163/100+Założenia!M285*Założenia!M$301*Założenia!$G56/100+Założenia!M286*Założenia!M$301*Założenia!$E164/100)*Założenia!$E$153</f>
        <v>1437312.2828468899</v>
      </c>
      <c r="O22" s="20">
        <f>(Założenia!N273*Założenia!N$297*Założenia!$E56/100+Założenia!N275*Założenia!N$297*Założenia!$E163/100+Założenia!N285*Założenia!N$301*Założenia!$G56/100+Założenia!N286*Założenia!N$301*Założenia!$E164/100)*Założenia!$E$153</f>
        <v>1437312.2828468899</v>
      </c>
      <c r="P22" s="20">
        <f>(Założenia!O273*Założenia!O$297*Założenia!$E56/100+Założenia!O275*Założenia!O$297*Założenia!$E163/100+Założenia!O285*Założenia!O$301*Założenia!$G56/100+Założenia!O286*Założenia!O$301*Założenia!$E164/100)*Założenia!$E$153</f>
        <v>1437312.2828468899</v>
      </c>
      <c r="Q22" s="20">
        <f>(Założenia!P273*Założenia!P$297*Założenia!$E56/100+Założenia!P275*Założenia!P$297*Założenia!$E163/100+Założenia!P285*Założenia!P$301*Założenia!$G56/100+Założenia!P286*Założenia!P$301*Założenia!$E164/100)*Założenia!$E$153</f>
        <v>1437312.2828468899</v>
      </c>
      <c r="R22" s="20">
        <f>(Założenia!Q273*Założenia!Q$297*Założenia!$E56/100+Założenia!Q275*Założenia!Q$297*Założenia!$E163/100+Założenia!Q285*Założenia!Q$301*Założenia!$G56/100+Założenia!Q286*Założenia!Q$301*Założenia!$E164/100)*Założenia!$E$153</f>
        <v>1437312.2828468899</v>
      </c>
      <c r="S22" s="20">
        <f>(Założenia!R273*Założenia!R$297*Założenia!$E56/100+Założenia!R275*Założenia!R$297*Założenia!$E163/100+Założenia!R285*Założenia!R$301*Założenia!$G56/100+Założenia!R286*Założenia!R$301*Założenia!$E164/100)*Założenia!$E$153</f>
        <v>1437312.2828468899</v>
      </c>
      <c r="T22" s="20">
        <f>(Założenia!S273*Założenia!S$297*Założenia!$E56/100+Założenia!S275*Założenia!S$297*Założenia!$E163/100+Założenia!S285*Założenia!S$301*Założenia!$G56/100+Założenia!S286*Założenia!S$301*Założenia!$E164/100)*Założenia!$E$153</f>
        <v>1437312.2828468899</v>
      </c>
    </row>
    <row r="23" spans="1:20" s="1" customFormat="1" ht="12">
      <c r="A23" s="82" t="s">
        <v>153</v>
      </c>
      <c r="B23" s="93" t="s">
        <v>279</v>
      </c>
      <c r="C23" s="175" t="s">
        <v>0</v>
      </c>
      <c r="D23" s="252"/>
      <c r="E23" s="20">
        <f>(E24+E31)*(1+(Założenia!D303)*Założenia!$E$162)</f>
        <v>436988.16129514173</v>
      </c>
      <c r="F23" s="20">
        <f>(F24+F31)*(1+(Założenia!E303)*Założenia!$E$162)</f>
        <v>450439.50866931392</v>
      </c>
      <c r="G23" s="20">
        <f>(G24+G31)*(1+(Założenia!F303)*Założenia!$E$162)</f>
        <v>468422.83506105462</v>
      </c>
      <c r="H23" s="20">
        <f>(H24+H31)*(1+(Założenia!G303)*Założenia!$E$162)</f>
        <v>399058.57612148352</v>
      </c>
      <c r="I23" s="20">
        <f>(I24+I31)*(1+(Założenia!H303)*Założenia!$E$162)</f>
        <v>417041.90251322422</v>
      </c>
      <c r="J23" s="20">
        <f>(J24+J31)*(1+(Założenia!I303)*Założenia!$E$162)</f>
        <v>435025.22890496493</v>
      </c>
      <c r="K23" s="20">
        <f>(K24+K31)*(1+(Założenia!J303)*Założenia!$E$162)</f>
        <v>440163.32215974788</v>
      </c>
      <c r="L23" s="20">
        <f>(L24+L31)*(1+(Założenia!K303)*Założenia!$E$162)</f>
        <v>458146.64855148847</v>
      </c>
      <c r="M23" s="20">
        <f>(M24+M31)*(1+(Założenia!L303)*Założenia!$E$162)</f>
        <v>476129.97494322917</v>
      </c>
      <c r="N23" s="20">
        <f>(N24+N31)*(1+(Założenia!M303)*Założenia!$E$162)</f>
        <v>494113.30133496982</v>
      </c>
      <c r="O23" s="20">
        <f>(O24+O31)*(1+(Założenia!N303)*Założenia!$E$162)</f>
        <v>512096.62772671052</v>
      </c>
      <c r="P23" s="20">
        <f>(P24+P31)*(1+(Założenia!O303)*Założenia!$E$162)</f>
        <v>425605.39127119584</v>
      </c>
      <c r="Q23" s="20">
        <f>(Q24+Q31)*(1+(Założenia!P303)*Założenia!$E$162)</f>
        <v>443588.71766293654</v>
      </c>
      <c r="R23" s="20">
        <f>(R24+R31)*(1+(Założenia!Q303)*Założenia!$E$162)</f>
        <v>437594.27553235635</v>
      </c>
      <c r="S23" s="20">
        <f>(S24+S31)*(1+(Założenia!R303)*Założenia!$E$162)</f>
        <v>455577.60192409693</v>
      </c>
      <c r="T23" s="20">
        <f>(T24+T31)*(1+(Założenia!S303)*Założenia!$E$162)</f>
        <v>442732.36878713936</v>
      </c>
    </row>
    <row r="24" spans="1:20" s="1" customFormat="1" ht="12">
      <c r="A24" s="82"/>
      <c r="B24" s="94" t="s">
        <v>314</v>
      </c>
      <c r="C24" s="175" t="s">
        <v>0</v>
      </c>
      <c r="D24" s="252"/>
      <c r="E24" s="20">
        <f>SUM(E25:E30)</f>
        <v>343935.32218002866</v>
      </c>
      <c r="F24" s="20">
        <f t="shared" ref="F24:T24" si="8">SUM(F25:F30)</f>
        <v>340166.15151195187</v>
      </c>
      <c r="G24" s="20">
        <f t="shared" si="8"/>
        <v>340166.15151195187</v>
      </c>
      <c r="H24" s="20">
        <f t="shared" si="8"/>
        <v>340166.15151195193</v>
      </c>
      <c r="I24" s="20">
        <f t="shared" si="8"/>
        <v>340166.15151195193</v>
      </c>
      <c r="J24" s="20">
        <f t="shared" si="8"/>
        <v>340166.15151195193</v>
      </c>
      <c r="K24" s="20">
        <f t="shared" si="8"/>
        <v>340166.15151195187</v>
      </c>
      <c r="L24" s="20">
        <f t="shared" si="8"/>
        <v>340166.15151195187</v>
      </c>
      <c r="M24" s="20">
        <f t="shared" si="8"/>
        <v>340166.15151195187</v>
      </c>
      <c r="N24" s="20">
        <f t="shared" si="8"/>
        <v>340166.15151195187</v>
      </c>
      <c r="O24" s="20">
        <f t="shared" si="8"/>
        <v>340166.15151195187</v>
      </c>
      <c r="P24" s="20">
        <f t="shared" si="8"/>
        <v>340166.15151195187</v>
      </c>
      <c r="Q24" s="20">
        <f t="shared" si="8"/>
        <v>340166.15151195187</v>
      </c>
      <c r="R24" s="20">
        <f t="shared" si="8"/>
        <v>340166.15151195187</v>
      </c>
      <c r="S24" s="20">
        <f t="shared" si="8"/>
        <v>340166.15151195187</v>
      </c>
      <c r="T24" s="20">
        <f t="shared" si="8"/>
        <v>340166.15151195187</v>
      </c>
    </row>
    <row r="25" spans="1:20" s="1" customFormat="1" ht="12">
      <c r="A25" s="82"/>
      <c r="B25" s="93" t="s">
        <v>361</v>
      </c>
      <c r="C25" s="175" t="s">
        <v>0</v>
      </c>
      <c r="D25" s="252"/>
      <c r="E25" s="20">
        <f>(Założenia!D268*Założenia!D$297+Założenia!D280*Założenia!D$301)*Założenia!$E$157</f>
        <v>0</v>
      </c>
      <c r="F25" s="20">
        <f>(Założenia!E268*Założenia!E$297+Założenia!E280*Założenia!E$301)*Założenia!$E$157</f>
        <v>0</v>
      </c>
      <c r="G25" s="20">
        <f>(Założenia!F268*Założenia!F$297+Założenia!F280*Założenia!F$301)*Założenia!$E$157</f>
        <v>0</v>
      </c>
      <c r="H25" s="20">
        <f>(Założenia!G268*Założenia!G$297+Założenia!G280*Założenia!G$301)*Założenia!$E$157</f>
        <v>0</v>
      </c>
      <c r="I25" s="20">
        <f>(Założenia!H268*Założenia!H$297+Założenia!H280*Założenia!H$301)*Założenia!$E$157</f>
        <v>0</v>
      </c>
      <c r="J25" s="20">
        <f>(Założenia!I268*Założenia!I$297+Założenia!I280*Założenia!I$301)*Założenia!$E$157</f>
        <v>0</v>
      </c>
      <c r="K25" s="20">
        <f>(Założenia!J268*Założenia!J$297+Założenia!J280*Założenia!J$301)*Założenia!$E$157</f>
        <v>0</v>
      </c>
      <c r="L25" s="20">
        <f>(Założenia!K268*Założenia!K$297+Założenia!K280*Założenia!K$301)*Założenia!$E$157</f>
        <v>0</v>
      </c>
      <c r="M25" s="20">
        <f>(Założenia!L268*Założenia!L$297+Założenia!L280*Założenia!L$301)*Założenia!$E$157</f>
        <v>0</v>
      </c>
      <c r="N25" s="20">
        <f>(Założenia!M268*Założenia!M$297+Założenia!M280*Założenia!M$301)*Założenia!$E$157</f>
        <v>0</v>
      </c>
      <c r="O25" s="20">
        <f>(Założenia!N268*Założenia!N$297+Założenia!N280*Założenia!N$301)*Założenia!$E$157</f>
        <v>0</v>
      </c>
      <c r="P25" s="20">
        <f>(Założenia!O268*Założenia!O$297+Założenia!O280*Założenia!O$301)*Założenia!$E$157</f>
        <v>0</v>
      </c>
      <c r="Q25" s="20">
        <f>(Założenia!P268*Założenia!P$297+Założenia!P280*Założenia!P$301)*Założenia!$E$157</f>
        <v>0</v>
      </c>
      <c r="R25" s="20">
        <f>(Założenia!Q268*Założenia!Q$297+Założenia!Q280*Założenia!Q$301)*Założenia!$E$157</f>
        <v>0</v>
      </c>
      <c r="S25" s="20">
        <f>(Założenia!R268*Założenia!R$297+Założenia!R280*Założenia!R$301)*Założenia!$E$157</f>
        <v>0</v>
      </c>
      <c r="T25" s="20">
        <f>(Założenia!S268*Założenia!S$297+Założenia!S280*Założenia!S$301)*Założenia!$E$157</f>
        <v>0</v>
      </c>
    </row>
    <row r="26" spans="1:20" s="1" customFormat="1" ht="12">
      <c r="A26" s="82"/>
      <c r="B26" s="93" t="s">
        <v>362</v>
      </c>
      <c r="C26" s="175" t="s">
        <v>0</v>
      </c>
      <c r="D26" s="252"/>
      <c r="E26" s="20">
        <f>(Założenia!D269*Założenia!D$297+Założenia!D281*Założenia!D$301)*Założenia!$E$157</f>
        <v>0</v>
      </c>
      <c r="F26" s="20">
        <f>(Założenia!E269*Założenia!E$297+Założenia!E281*Założenia!E$301)*Założenia!$E$157</f>
        <v>0</v>
      </c>
      <c r="G26" s="20">
        <f>(Założenia!F269*Założenia!F$297+Założenia!F281*Założenia!F$301)*Założenia!$E$157</f>
        <v>0</v>
      </c>
      <c r="H26" s="20">
        <f>(Założenia!G269*Założenia!G$297+Założenia!G281*Założenia!G$301)*Założenia!$E$157</f>
        <v>0</v>
      </c>
      <c r="I26" s="20">
        <f>(Założenia!H269*Założenia!H$297+Założenia!H281*Założenia!H$301)*Założenia!$E$157</f>
        <v>0</v>
      </c>
      <c r="J26" s="20">
        <f>(Założenia!I269*Założenia!I$297+Założenia!I281*Założenia!I$301)*Założenia!$E$157</f>
        <v>0</v>
      </c>
      <c r="K26" s="20">
        <f>(Założenia!J269*Założenia!J$297+Założenia!J281*Założenia!J$301)*Założenia!$E$157</f>
        <v>0</v>
      </c>
      <c r="L26" s="20">
        <f>(Założenia!K269*Założenia!K$297+Założenia!K281*Założenia!K$301)*Założenia!$E$157</f>
        <v>0</v>
      </c>
      <c r="M26" s="20">
        <f>(Założenia!L269*Założenia!L$297+Założenia!L281*Założenia!L$301)*Założenia!$E$157</f>
        <v>0</v>
      </c>
      <c r="N26" s="20">
        <f>(Założenia!M269*Założenia!M$297+Założenia!M281*Założenia!M$301)*Założenia!$E$157</f>
        <v>0</v>
      </c>
      <c r="O26" s="20">
        <f>(Założenia!N269*Założenia!N$297+Założenia!N281*Założenia!N$301)*Założenia!$E$157</f>
        <v>0</v>
      </c>
      <c r="P26" s="20">
        <f>(Założenia!O269*Założenia!O$297+Założenia!O281*Założenia!O$301)*Założenia!$E$157</f>
        <v>0</v>
      </c>
      <c r="Q26" s="20">
        <f>(Założenia!P269*Założenia!P$297+Założenia!P281*Założenia!P$301)*Założenia!$E$157</f>
        <v>0</v>
      </c>
      <c r="R26" s="20">
        <f>(Założenia!Q269*Założenia!Q$297+Założenia!Q281*Założenia!Q$301)*Założenia!$E$157</f>
        <v>0</v>
      </c>
      <c r="S26" s="20">
        <f>(Założenia!R269*Założenia!R$297+Założenia!R281*Założenia!R$301)*Założenia!$E$157</f>
        <v>0</v>
      </c>
      <c r="T26" s="20">
        <f>(Założenia!S269*Założenia!S$297+Założenia!S281*Założenia!S$301)*Założenia!$E$157</f>
        <v>0</v>
      </c>
    </row>
    <row r="27" spans="1:20" s="1" customFormat="1" ht="12">
      <c r="A27" s="82"/>
      <c r="B27" s="93" t="s">
        <v>363</v>
      </c>
      <c r="C27" s="175" t="s">
        <v>0</v>
      </c>
      <c r="D27" s="252"/>
      <c r="E27" s="20">
        <f>(Założenia!D270*Założenia!D$297+Założenia!D282*Założenia!D$301)*Założenia!$E$157</f>
        <v>0</v>
      </c>
      <c r="F27" s="20">
        <f>(Założenia!E270*Założenia!E$297+Założenia!E282*Założenia!E$301)*Założenia!$E$157</f>
        <v>0</v>
      </c>
      <c r="G27" s="20">
        <f>(Założenia!F270*Założenia!F$297+Założenia!F282*Założenia!F$301)*Założenia!$E$157</f>
        <v>0</v>
      </c>
      <c r="H27" s="20">
        <f>(Założenia!G270*Założenia!G$297+Założenia!G282*Założenia!G$301)*Założenia!$E$157</f>
        <v>0</v>
      </c>
      <c r="I27" s="20">
        <f>(Założenia!H270*Założenia!H$297+Założenia!H282*Założenia!H$301)*Założenia!$E$157</f>
        <v>0</v>
      </c>
      <c r="J27" s="20">
        <f>(Założenia!I270*Założenia!I$297+Założenia!I282*Założenia!I$301)*Założenia!$E$157</f>
        <v>0</v>
      </c>
      <c r="K27" s="20">
        <f>(Założenia!J270*Założenia!J$297+Założenia!J282*Założenia!J$301)*Założenia!$E$157</f>
        <v>0</v>
      </c>
      <c r="L27" s="20">
        <f>(Założenia!K270*Założenia!K$297+Założenia!K282*Założenia!K$301)*Założenia!$E$157</f>
        <v>0</v>
      </c>
      <c r="M27" s="20">
        <f>(Założenia!L270*Założenia!L$297+Założenia!L282*Założenia!L$301)*Założenia!$E$157</f>
        <v>0</v>
      </c>
      <c r="N27" s="20">
        <f>(Założenia!M270*Założenia!M$297+Założenia!M282*Założenia!M$301)*Założenia!$E$157</f>
        <v>0</v>
      </c>
      <c r="O27" s="20">
        <f>(Założenia!N270*Założenia!N$297+Założenia!N282*Założenia!N$301)*Założenia!$E$157</f>
        <v>0</v>
      </c>
      <c r="P27" s="20">
        <f>(Założenia!O270*Założenia!O$297+Założenia!O282*Założenia!O$301)*Założenia!$E$157</f>
        <v>0</v>
      </c>
      <c r="Q27" s="20">
        <f>(Założenia!P270*Założenia!P$297+Założenia!P282*Założenia!P$301)*Założenia!$E$157</f>
        <v>0</v>
      </c>
      <c r="R27" s="20">
        <f>(Założenia!Q270*Założenia!Q$297+Założenia!Q282*Założenia!Q$301)*Założenia!$E$157</f>
        <v>0</v>
      </c>
      <c r="S27" s="20">
        <f>(Założenia!R270*Założenia!R$297+Założenia!R282*Założenia!R$301)*Założenia!$E$157</f>
        <v>0</v>
      </c>
      <c r="T27" s="20">
        <f>(Założenia!S270*Założenia!S$297+Założenia!S282*Założenia!S$301)*Założenia!$E$157</f>
        <v>0</v>
      </c>
    </row>
    <row r="28" spans="1:20" s="1" customFormat="1" ht="12">
      <c r="A28" s="82"/>
      <c r="B28" s="93" t="s">
        <v>364</v>
      </c>
      <c r="C28" s="175" t="s">
        <v>0</v>
      </c>
      <c r="D28" s="252"/>
      <c r="E28" s="20">
        <f>(Założenia!D271*Założenia!D$297+Założenia!D283*Założenia!D$301)*Założenia!$E$157</f>
        <v>0</v>
      </c>
      <c r="F28" s="20">
        <f>(Założenia!E271*Założenia!E$297+Założenia!E283*Założenia!E$301)*Założenia!$E$157</f>
        <v>0</v>
      </c>
      <c r="G28" s="20">
        <f>(Założenia!F271*Założenia!F$297+Założenia!F283*Założenia!F$301)*Założenia!$E$157</f>
        <v>0</v>
      </c>
      <c r="H28" s="20">
        <f>(Założenia!G271*Założenia!G$297+Założenia!G283*Założenia!G$301)*Założenia!$E$157</f>
        <v>0</v>
      </c>
      <c r="I28" s="20">
        <f>(Założenia!H271*Założenia!H$297+Założenia!H283*Założenia!H$301)*Założenia!$E$157</f>
        <v>0</v>
      </c>
      <c r="J28" s="20">
        <f>(Założenia!I271*Założenia!I$297+Założenia!I283*Założenia!I$301)*Założenia!$E$157</f>
        <v>0</v>
      </c>
      <c r="K28" s="20">
        <f>(Założenia!J271*Założenia!J$297+Założenia!J283*Założenia!J$301)*Założenia!$E$157</f>
        <v>0</v>
      </c>
      <c r="L28" s="20">
        <f>(Założenia!K271*Założenia!K$297+Założenia!K283*Założenia!K$301)*Założenia!$E$157</f>
        <v>0</v>
      </c>
      <c r="M28" s="20">
        <f>(Założenia!L271*Założenia!L$297+Założenia!L283*Założenia!L$301)*Założenia!$E$157</f>
        <v>0</v>
      </c>
      <c r="N28" s="20">
        <f>(Założenia!M271*Założenia!M$297+Założenia!M283*Założenia!M$301)*Założenia!$E$157</f>
        <v>0</v>
      </c>
      <c r="O28" s="20">
        <f>(Założenia!N271*Założenia!N$297+Założenia!N283*Założenia!N$301)*Założenia!$E$157</f>
        <v>0</v>
      </c>
      <c r="P28" s="20">
        <f>(Założenia!O271*Założenia!O$297+Założenia!O283*Założenia!O$301)*Założenia!$E$157</f>
        <v>0</v>
      </c>
      <c r="Q28" s="20">
        <f>(Założenia!P271*Założenia!P$297+Założenia!P283*Założenia!P$301)*Założenia!$E$157</f>
        <v>0</v>
      </c>
      <c r="R28" s="20">
        <f>(Założenia!Q271*Założenia!Q$297+Założenia!Q283*Założenia!Q$301)*Założenia!$E$157</f>
        <v>0</v>
      </c>
      <c r="S28" s="20">
        <f>(Założenia!R271*Założenia!R$297+Założenia!R283*Założenia!R$301)*Założenia!$E$157</f>
        <v>0</v>
      </c>
      <c r="T28" s="20">
        <f>(Założenia!S271*Założenia!S$297+Założenia!S283*Założenia!S$301)*Założenia!$E$157</f>
        <v>0</v>
      </c>
    </row>
    <row r="29" spans="1:20" s="1" customFormat="1" ht="12">
      <c r="A29" s="82"/>
      <c r="B29" s="93" t="s">
        <v>365</v>
      </c>
      <c r="C29" s="175" t="s">
        <v>0</v>
      </c>
      <c r="D29" s="252"/>
      <c r="E29" s="20">
        <f>(Założenia!D272*Założenia!D$297+Założenia!D274*Założenia!D$297+Założenia!D284*Założenia!D$301)*Założenia!$E$157</f>
        <v>35422.557313246063</v>
      </c>
      <c r="F29" s="20">
        <f>(Założenia!E272*Założenia!E$297+Założenia!E274*Założenia!E$297+Założenia!E284*Założenia!E$301)*Założenia!$E$157</f>
        <v>34951.410979736473</v>
      </c>
      <c r="G29" s="20">
        <f>(Założenia!F272*Założenia!F$297+Założenia!F274*Założenia!F$297+Założenia!F284*Założenia!F$301)*Założenia!$E$157</f>
        <v>34951.410979736473</v>
      </c>
      <c r="H29" s="20">
        <f>(Założenia!G272*Założenia!G$297+Założenia!G274*Założenia!G$297+Założenia!G284*Założenia!G$301)*Założenia!$E$157</f>
        <v>35034.554450355812</v>
      </c>
      <c r="I29" s="20">
        <f>(Założenia!H272*Założenia!H$297+Założenia!H274*Założenia!H$297+Założenia!H284*Założenia!H$301)*Założenia!$E$157</f>
        <v>35034.554450355812</v>
      </c>
      <c r="J29" s="20">
        <f>(Założenia!I272*Założenia!I$297+Założenia!I274*Założenia!I$297+Założenia!I284*Założenia!I$301)*Założenia!$E$157</f>
        <v>35034.554450355812</v>
      </c>
      <c r="K29" s="20">
        <f>(Założenia!J272*Założenia!J$297+Założenia!J274*Założenia!J$297+Założenia!J284*Założenia!J$301)*Założenia!$E$157</f>
        <v>0</v>
      </c>
      <c r="L29" s="20">
        <f>(Założenia!K272*Założenia!K$297+Założenia!K274*Założenia!K$297+Założenia!K284*Założenia!K$301)*Założenia!$E$157</f>
        <v>0</v>
      </c>
      <c r="M29" s="20">
        <f>(Założenia!L272*Założenia!L$297+Założenia!L274*Założenia!L$297+Założenia!L284*Założenia!L$301)*Założenia!$E$157</f>
        <v>0</v>
      </c>
      <c r="N29" s="20">
        <f>(Założenia!M272*Założenia!M$297+Założenia!M274*Założenia!M$297+Założenia!M284*Założenia!M$301)*Założenia!$E$157</f>
        <v>0</v>
      </c>
      <c r="O29" s="20">
        <f>(Założenia!N272*Założenia!N$297+Założenia!N274*Założenia!N$297+Założenia!N284*Założenia!N$301)*Założenia!$E$157</f>
        <v>0</v>
      </c>
      <c r="P29" s="20">
        <f>(Założenia!O272*Założenia!O$297+Założenia!O274*Założenia!O$297+Założenia!O284*Założenia!O$301)*Założenia!$E$157</f>
        <v>0</v>
      </c>
      <c r="Q29" s="20">
        <f>(Założenia!P272*Założenia!P$297+Założenia!P274*Założenia!P$297+Założenia!P284*Założenia!P$301)*Założenia!$E$157</f>
        <v>0</v>
      </c>
      <c r="R29" s="20">
        <f>(Założenia!Q272*Założenia!Q$297+Założenia!Q274*Założenia!Q$297+Założenia!Q284*Założenia!Q$301)*Założenia!$E$157</f>
        <v>0</v>
      </c>
      <c r="S29" s="20">
        <f>(Założenia!R272*Założenia!R$297+Założenia!R274*Założenia!R$297+Założenia!R284*Założenia!R$301)*Założenia!$E$157</f>
        <v>0</v>
      </c>
      <c r="T29" s="20">
        <f>(Założenia!S272*Założenia!S$297+Założenia!S274*Założenia!S$297+Założenia!S284*Założenia!S$301)*Założenia!$E$157</f>
        <v>0</v>
      </c>
    </row>
    <row r="30" spans="1:20" s="1" customFormat="1" ht="12">
      <c r="A30" s="82"/>
      <c r="B30" s="93" t="s">
        <v>367</v>
      </c>
      <c r="C30" s="175" t="s">
        <v>0</v>
      </c>
      <c r="D30" s="252"/>
      <c r="E30" s="20">
        <f>(+Założenia!D273*Założenia!D$297+Założenia!D275*Założenia!D$297+Założenia!D285*Założenia!D$301+Założenia!D286*Założenia!D$301)*Założenia!$E$157</f>
        <v>308512.76486678259</v>
      </c>
      <c r="F30" s="20">
        <f>(+Założenia!E273*Założenia!E$297+Założenia!E275*Założenia!E$297+Założenia!E285*Założenia!E$301+Założenia!E286*Założenia!E$301)*Założenia!$E$157</f>
        <v>305214.74053221539</v>
      </c>
      <c r="G30" s="20">
        <f>(+Założenia!F273*Założenia!F$297+Założenia!F275*Założenia!F$297+Założenia!F285*Założenia!F$301+Założenia!F286*Założenia!F$301)*Założenia!$E$157</f>
        <v>305214.74053221539</v>
      </c>
      <c r="H30" s="20">
        <f>(+Założenia!G273*Założenia!G$297+Założenia!G275*Założenia!G$297+Założenia!G285*Założenia!G$301+Założenia!G286*Założenia!G$301)*Założenia!$E$157</f>
        <v>305131.59706159611</v>
      </c>
      <c r="I30" s="20">
        <f>(+Założenia!H273*Założenia!H$297+Założenia!H275*Założenia!H$297+Założenia!H285*Założenia!H$301+Założenia!H286*Założenia!H$301)*Założenia!$E$157</f>
        <v>305131.59706159611</v>
      </c>
      <c r="J30" s="20">
        <f>(+Założenia!I273*Założenia!I$297+Założenia!I275*Założenia!I$297+Założenia!I285*Założenia!I$301+Założenia!I286*Założenia!I$301)*Założenia!$E$157</f>
        <v>305131.59706159611</v>
      </c>
      <c r="K30" s="20">
        <f>(+Założenia!J273*Założenia!J$297+Założenia!J275*Założenia!J$297+Założenia!J285*Założenia!J$301+Założenia!J286*Założenia!J$301)*Założenia!$E$157</f>
        <v>340166.15151195187</v>
      </c>
      <c r="L30" s="20">
        <f>(+Założenia!K273*Założenia!K$297+Założenia!K275*Założenia!K$297+Założenia!K285*Założenia!K$301+Założenia!K286*Założenia!K$301)*Założenia!$E$157</f>
        <v>340166.15151195187</v>
      </c>
      <c r="M30" s="20">
        <f>(+Założenia!L273*Założenia!L$297+Założenia!L275*Założenia!L$297+Założenia!L285*Założenia!L$301+Założenia!L286*Założenia!L$301)*Założenia!$E$157</f>
        <v>340166.15151195187</v>
      </c>
      <c r="N30" s="20">
        <f>(+Założenia!M273*Założenia!M$297+Założenia!M275*Założenia!M$297+Założenia!M285*Założenia!M$301+Założenia!M286*Założenia!M$301)*Założenia!$E$157</f>
        <v>340166.15151195187</v>
      </c>
      <c r="O30" s="20">
        <f>(+Założenia!N273*Założenia!N$297+Założenia!N275*Założenia!N$297+Założenia!N285*Założenia!N$301+Założenia!N286*Założenia!N$301)*Założenia!$E$157</f>
        <v>340166.15151195187</v>
      </c>
      <c r="P30" s="20">
        <f>(+Założenia!O273*Założenia!O$297+Założenia!O275*Założenia!O$297+Założenia!O285*Założenia!O$301+Założenia!O286*Założenia!O$301)*Założenia!$E$157</f>
        <v>340166.15151195187</v>
      </c>
      <c r="Q30" s="20">
        <f>(+Założenia!P273*Założenia!P$297+Założenia!P275*Założenia!P$297+Założenia!P285*Założenia!P$301+Założenia!P286*Założenia!P$301)*Założenia!$E$157</f>
        <v>340166.15151195187</v>
      </c>
      <c r="R30" s="20">
        <f>(+Założenia!Q273*Założenia!Q$297+Założenia!Q275*Założenia!Q$297+Założenia!Q285*Założenia!Q$301+Założenia!Q286*Założenia!Q$301)*Założenia!$E$157</f>
        <v>340166.15151195187</v>
      </c>
      <c r="S30" s="20">
        <f>(+Założenia!R273*Założenia!R$297+Założenia!R275*Założenia!R$297+Założenia!R285*Założenia!R$301+Założenia!R286*Założenia!R$301)*Założenia!$E$157</f>
        <v>340166.15151195187</v>
      </c>
      <c r="T30" s="20">
        <f>(+Założenia!S273*Założenia!S$297+Założenia!S275*Założenia!S$297+Założenia!S285*Założenia!S$301+Założenia!S286*Założenia!S$301)*Założenia!$E$157</f>
        <v>340166.15151195187</v>
      </c>
    </row>
    <row r="31" spans="1:20" s="1" customFormat="1" ht="12">
      <c r="A31" s="82"/>
      <c r="B31" s="94" t="s">
        <v>313</v>
      </c>
      <c r="C31" s="175" t="s">
        <v>0</v>
      </c>
      <c r="D31" s="252"/>
      <c r="E31" s="20">
        <f>Założenia!D277*Założenia!D299*Założenia!$E$157*Założenia!$E$160+Założenia!D287*Założenia!D302*Założenia!$E$157*Założenia!$E$160</f>
        <v>19500.376322861517</v>
      </c>
      <c r="F31" s="20">
        <f>Założenia!E277*Założenia!E299*Założenia!$E$157*Założenia!$E$160+Założenia!E287*Założenia!E302*Założenia!$E$157*Założenia!$E$160</f>
        <v>19500.376322861517</v>
      </c>
      <c r="G31" s="20">
        <f>Założenia!F277*Założenia!F299*Założenia!$E$157*Założenia!$E$160+Założenia!F287*Założenia!F302*Założenia!$E$157*Założenia!$E$160</f>
        <v>19500.376322861517</v>
      </c>
      <c r="H31" s="20">
        <f>Założenia!G277*Założenia!G299*Założenia!$E$157*Założenia!$E$160+Założenia!G287*Założenia!G302*Założenia!$E$157*Założenia!$E$160</f>
        <v>19500.376322861517</v>
      </c>
      <c r="I31" s="20">
        <f>Założenia!H277*Założenia!H299*Założenia!$E$157*Założenia!$E$160+Założenia!H287*Założenia!H302*Założenia!$E$157*Założenia!$E$160</f>
        <v>19500.376322861517</v>
      </c>
      <c r="J31" s="20">
        <f>Założenia!I277*Założenia!I299*Założenia!$E$157*Założenia!$E$160+Założenia!I287*Założenia!I302*Założenia!$E$157*Założenia!$E$160</f>
        <v>19500.376322861517</v>
      </c>
      <c r="K31" s="20">
        <f>Założenia!J277*Założenia!J299*Założenia!$E$157*Założenia!$E$160+Założenia!J287*Założenia!J302*Założenia!$E$157*Założenia!$E$160</f>
        <v>19500.376322861517</v>
      </c>
      <c r="L31" s="20">
        <f>Założenia!K277*Założenia!K299*Założenia!$E$157*Założenia!$E$160+Założenia!K287*Założenia!K302*Założenia!$E$157*Założenia!$E$160</f>
        <v>19500.376322861517</v>
      </c>
      <c r="M31" s="20">
        <f>Założenia!L277*Założenia!L299*Założenia!$E$157*Założenia!$E$160+Założenia!L287*Założenia!L302*Założenia!$E$157*Założenia!$E$160</f>
        <v>19500.376322861517</v>
      </c>
      <c r="N31" s="20">
        <f>Założenia!M277*Założenia!M299*Założenia!$E$157*Założenia!$E$160+Założenia!M287*Założenia!M302*Założenia!$E$157*Założenia!$E$160</f>
        <v>19500.376322861517</v>
      </c>
      <c r="O31" s="20">
        <f>Założenia!N277*Założenia!N299*Założenia!$E$157*Założenia!$E$160+Założenia!N287*Założenia!N302*Założenia!$E$157*Założenia!$E$160</f>
        <v>19500.376322861517</v>
      </c>
      <c r="P31" s="20">
        <f>Założenia!O277*Założenia!O299*Założenia!$E$157*Założenia!$E$160+Założenia!O287*Założenia!O302*Założenia!$E$157*Założenia!$E$160</f>
        <v>19500.376322861517</v>
      </c>
      <c r="Q31" s="20">
        <f>Założenia!P277*Założenia!P299*Założenia!$E$157*Założenia!$E$160+Założenia!P287*Założenia!P302*Założenia!$E$157*Założenia!$E$160</f>
        <v>19500.376322861517</v>
      </c>
      <c r="R31" s="20">
        <f>Założenia!Q277*Założenia!Q299*Założenia!$E$157*Założenia!$E$160+Założenia!Q287*Założenia!Q302*Założenia!$E$157*Założenia!$E$160</f>
        <v>19500.376322861517</v>
      </c>
      <c r="S31" s="20">
        <f>Założenia!R277*Założenia!R299*Założenia!$E$157*Założenia!$E$160+Założenia!R287*Założenia!R302*Założenia!$E$157*Założenia!$E$160</f>
        <v>19500.376322861517</v>
      </c>
      <c r="T31" s="20">
        <f>Założenia!S277*Założenia!S299*Założenia!$E$157*Założenia!$E$160+Założenia!S287*Założenia!S302*Założenia!$E$157*Założenia!$E$160</f>
        <v>19500.376322861517</v>
      </c>
    </row>
    <row r="32" spans="1:20" s="11" customFormat="1" ht="12">
      <c r="A32" s="37" t="s">
        <v>49</v>
      </c>
      <c r="B32" s="101" t="s">
        <v>6</v>
      </c>
      <c r="C32" s="253" t="s">
        <v>0</v>
      </c>
      <c r="D32" s="254"/>
      <c r="E32" s="19">
        <f>(((SUM(Założenia!D268:D272)+Założenia!D274)*Założenia!D297+SUM(Założenia!D280:D284)*Założenia!D301)*Założenia!$E$158+(Założenia!D273*Założenia!D297+Założenia!D275*Założenia!D297+Założenia!D285*Założenia!D301+Założenia!D286*Założenia!D301)*Założenia!$E158+(Założenia!D277*Założenia!D299+Założenia!D287*Założenia!D302)*Założenia!$E$158*Założenia!$E$160)*(1+(Założenia!D303-Założenia!$D$303)*Założenia!$E$162)+Opcje!E48*Założenia!$E$183+Opcje!E49*Założenia!$E$182+Założenia!$H$183*Założenia!$E$183</f>
        <v>406903.45784096245</v>
      </c>
      <c r="F32" s="19">
        <f>(((SUM(Założenia!E268:E272)+Założenia!E274)*Założenia!E297+SUM(Założenia!E280:E284)*Założenia!E301)*Założenia!$E$158+(Założenia!E273*Założenia!E297+Założenia!E275*Założenia!E297+Założenia!E285*Założenia!E301+Założenia!E286*Założenia!E301)*Założenia!$E158+(Założenia!E277*Założenia!E299+Założenia!E287*Założenia!E302)*Założenia!$E$158*Założenia!$E$160)*(1+(Założenia!E303-Założenia!$D$303)*Założenia!$E$162)+Opcje!F48*Założenia!$E$183+Opcje!F49*Założenia!$E$182+Założenia!$H$183*Założenia!$E$183</f>
        <v>422270.11267735582</v>
      </c>
      <c r="G32" s="19">
        <f>(((SUM(Założenia!F268:F272)+Założenia!F274)*Założenia!F297+SUM(Założenia!F280:F284)*Założenia!F301)*Założenia!$E$158+(Założenia!F273*Założenia!F297+Założenia!F275*Założenia!F297+Założenia!F285*Założenia!F301+Założenia!F286*Założenia!F301)*Założenia!$E158*Założenia!$E$161+(Założenia!F277*Założenia!F299+Założenia!F287*Założenia!F302)*Założenia!$E$158*Założenia!$E$160)*(1+(Założenia!F303-Założenia!$D$303)*Założenia!$E$162)+Opcje!G48*Założenia!$E$183+Opcje!G49*Założenia!$E$182+Założenia!$H$183*Założenia!$E$183</f>
        <v>387267.83614105871</v>
      </c>
      <c r="H32" s="19">
        <f>(((SUM(Założenia!G268:G272)+Założenia!G274)*Założenia!G297+SUM(Założenia!G280:G284)*Założenia!G301)*Założenia!$E$158+(Założenia!G273*Założenia!G297+Założenia!G275*Założenia!G297+Założenia!G285*Założenia!G301+Założenia!G286*Założenia!G301)*Założenia!$E158*Założenia!$E$161+(Założenia!G277*Założenia!G299+Założenia!G287*Założenia!G302)*Założenia!$E$158*Założenia!$E$160)*(1+(Założenia!G303-Założenia!$D$303)*Założenia!$E$162)+Opcje!H48*Założenia!$E$183+Opcje!H49*Założenia!$E$182+Założenia!$H$183*Założenia!$E$183</f>
        <v>321837.00471813057</v>
      </c>
      <c r="I32" s="19">
        <f>(((SUM(Założenia!H268:H272)+Założenia!H274)*Założenia!H297+SUM(Założenia!H280:H284)*Założenia!H301)*Założenia!$E$158+(Założenia!H273*Założenia!H297+Założenia!H275*Założenia!H297+Założenia!H285*Założenia!H301+Założenia!H286*Założenia!H301)*Założenia!$E158*Założenia!$E$161+(Założenia!H277*Założenia!H299+Założenia!H287*Założenia!H302)*Założenia!$E$158*Założenia!$E$160)*(1+(Założenia!H303-Założenia!$D$303)*Założenia!$E$162)+Opcje!I48*Założenia!$E$183+Opcje!I49*Założenia!$E$182+Założenia!$H$183*Założenia!$E$183</f>
        <v>338804.39867897244</v>
      </c>
      <c r="J32" s="19">
        <f>(((SUM(Założenia!I268:I272)+Założenia!I274)*Założenia!I297+SUM(Założenia!I280:I284)*Założenia!I301)*Założenia!$E$158+(Założenia!I273*Założenia!I297+Założenia!I275*Założenia!I297+Założenia!I285*Założenia!I301+Założenia!I286*Założenia!I301)*Założenia!$E158*Założenia!$E$161+(Założenia!I277*Założenia!I299+Założenia!I287*Założenia!I302)*Założenia!$E$158*Założenia!$E$160)*(1+(Założenia!I303-Założenia!$D$303)*Założenia!$E$162)+Opcje!J48*Założenia!$E$183+Opcje!J49*Założenia!$E$182+Założenia!$H$183*Założenia!$E$183</f>
        <v>355771.79263981426</v>
      </c>
      <c r="K32" s="19">
        <f>(((SUM(Założenia!J268:J272)+Założenia!J274)*Założenia!J297+SUM(Założenia!J280:J284)*Założenia!J301)*Założenia!$E$158+(Założenia!J273*Założenia!J297+Założenia!J275*Założenia!J297+Założenia!J285*Założenia!J301+Założenia!J286*Założenia!J301)*Założenia!$E158*Założenia!$E$161+(Założenia!J277*Założenia!J299+Założenia!J287*Założenia!J302)*Założenia!$E$158*Założenia!$E$160)*(1+(Założenia!J303-Założenia!$D$303)*Założenia!$E$162)+Opcje!K48*Założenia!$E$183+Opcje!K49*Założenia!$E$182+Założenia!$H$183*Założenia!$E$183</f>
        <v>354816.59869071009</v>
      </c>
      <c r="L32" s="19">
        <f>(((SUM(Założenia!K268:K272)+Założenia!K274)*Założenia!K297+SUM(Założenia!K280:K284)*Założenia!K301)*Założenia!$E$158+(Założenia!K273*Założenia!K297+Założenia!K275*Założenia!K297+Założenia!K285*Założenia!K301+Założenia!K286*Założenia!K301)*Założenia!$E158*Założenia!$E$161+(Założenia!K277*Założenia!K299+Założenia!K287*Założenia!K302)*Założenia!$E$158*Założenia!$E$160)*(1+(Założenia!K303-Założenia!$D$303)*Założenia!$E$162)+Opcje!L48*Założenia!$E$183+Opcje!L49*Założenia!$E$182+Założenia!$H$183*Założenia!$E$183</f>
        <v>371499.92869654909</v>
      </c>
      <c r="M32" s="19">
        <f>(((SUM(Założenia!L268:L272)+Założenia!L274)*Założenia!L297+SUM(Założenia!L280:L284)*Założenia!L301)*Założenia!$E$158+(Założenia!L273*Założenia!L297+Założenia!L275*Założenia!L297+Założenia!L285*Założenia!L301+Założenia!L286*Założenia!L301)*Założenia!$E158*Założenia!$E$161+(Założenia!L277*Założenia!L299+Założenia!L287*Założenia!L302)*Założenia!$E$158*Założenia!$E$160)*(1+(Założenia!L303-Założenia!$D$303)*Założenia!$E$162)+Opcje!M48*Założenia!$E$183+Opcje!M49*Założenia!$E$182+Założenia!$H$183*Założenia!$E$183</f>
        <v>388183.25870238803</v>
      </c>
      <c r="N32" s="19">
        <f>(((SUM(Założenia!M268:M272)+Założenia!M274)*Założenia!M297+SUM(Założenia!M280:M284)*Założenia!M301)*Założenia!$E$158+(Założenia!M273*Założenia!M297+Założenia!M275*Założenia!M297+Założenia!M285*Założenia!M301+Założenia!M286*Założenia!M301)*Założenia!$E158*Założenia!$E$161+(Założenia!M277*Założenia!M299+Założenia!M287*Założenia!M302)*Założenia!$E$158*Założenia!$E$160)*(1+(Założenia!M303-Założenia!$D$303)*Założenia!$E$162)+Opcje!N48*Założenia!$E$183+Opcje!N49*Założenia!$E$182+Założenia!$H$183*Założenia!$E$183</f>
        <v>404866.58870822703</v>
      </c>
      <c r="O32" s="19">
        <f>(((SUM(Założenia!N268:N272)+Założenia!N274)*Założenia!N297+SUM(Założenia!N280:N284)*Założenia!N301)*Założenia!$E$158+(Założenia!N273*Założenia!N297+Założenia!N275*Założenia!N297+Założenia!N285*Założenia!N301+Założenia!N286*Założenia!N301)*Założenia!$E158*Założenia!$E$161+(Założenia!N277*Założenia!N299+Założenia!N287*Założenia!N302)*Założenia!$E$158*Założenia!$E$160)*(1+(Założenia!N303-Założenia!$D$303)*Założenia!$E$162)+Opcje!O48*Założenia!$E$183+Opcje!O49*Założenia!$E$182+Założenia!$H$183*Założenia!$E$183</f>
        <v>421549.91871406598</v>
      </c>
      <c r="P32" s="19">
        <f>(((SUM(Założenia!O268:O272)+Założenia!O274)*Założenia!O297+SUM(Założenia!O280:O284)*Założenia!O301)*Założenia!$E$158+(Założenia!O273*Założenia!O297+Założenia!O275*Założenia!O297+Założenia!O285*Założenia!O301+Założenia!O286*Założenia!O301)*Założenia!$E158*Założenia!$E$161+(Założenia!O277*Założenia!O299+Założenia!O287*Założenia!O302)*Założenia!$E$158*Założenia!$E$160)*(1+(Założenia!O303-Założenia!$D$303)*Założenia!$E$162)+Opcje!P48*Założenia!$E$183+Opcje!P49*Założenia!$E$182+Założenia!$H$183*Założenia!$E$183</f>
        <v>341311.04582884046</v>
      </c>
      <c r="Q32" s="19">
        <f>(((SUM(Założenia!P268:P272)+Założenia!P274)*Założenia!P297+SUM(Założenia!P280:P284)*Założenia!P301)*Założenia!$E$158+(Założenia!P273*Założenia!P297+Założenia!P275*Założenia!P297+Założenia!P285*Założenia!P301+Założenia!P286*Założenia!P301)*Założenia!$E158*Założenia!$E$161+(Założenia!P277*Założenia!P299+Założenia!P287*Założenia!P302)*Założenia!$E$158*Założenia!$E$160)*(1+(Założenia!P303-Założenia!$D$303)*Założenia!$E$162)+Opcje!Q48*Założenia!$E$183+Opcje!Q49*Założenia!$E$182+Założenia!$H$183*Założenia!$E$183</f>
        <v>357994.37583467952</v>
      </c>
      <c r="R32" s="19">
        <f>(((SUM(Założenia!Q268:Q272)+Założenia!Q274)*Założenia!Q297+SUM(Założenia!Q280:Q284)*Założenia!Q301)*Założenia!$E$158+(Założenia!Q273*Założenia!Q297+Założenia!Q275*Założenia!Q297+Założenia!Q285*Założenia!Q301+Założenia!Q286*Założenia!Q301)*Założenia!$E158*Założenia!$E$161+(Założenia!Q277*Założenia!Q299+Założenia!Q287*Założenia!Q302)*Założenia!$E$158*Założenia!$E$160)*(1+(Założenia!Q303-Założenia!$D$303)*Założenia!$E$162)+Opcje!R48*Założenia!$E$183+Opcje!R49*Założenia!$E$182+Założenia!$H$183*Założenia!$E$183</f>
        <v>352433.26583273313</v>
      </c>
      <c r="S32" s="19">
        <f>(((SUM(Założenia!R268:R272)+Założenia!R274)*Założenia!R297+SUM(Założenia!R280:R284)*Założenia!R301)*Założenia!$E$158+(Założenia!R273*Założenia!R297+Założenia!R275*Założenia!R297+Założenia!R285*Założenia!R301+Założenia!R286*Założenia!R301)*Założenia!$E158*Założenia!$E$161+(Założenia!R277*Założenia!R299+Założenia!R287*Założenia!R302)*Założenia!$E$158*Założenia!$E$160)*(1+(Założenia!R303-Założenia!$D$303)*Założenia!$E$162)+Opcje!S48*Założenia!$E$183+Opcje!S49*Założenia!$E$182+Założenia!$H$183*Założenia!$E$183</f>
        <v>369116.59583857207</v>
      </c>
      <c r="T32" s="19">
        <f>(((SUM(Założenia!S268:S272)+Założenia!S274)*Założenia!S297+SUM(Założenia!S280:S284)*Założenia!S301)*Założenia!$E$158+(Założenia!S273*Założenia!S297+Założenia!S275*Założenia!S297+Założenia!S285*Założenia!S301+Założenia!S286*Założenia!S301)*Założenia!$E158*Założenia!$E$161+(Założenia!S277*Założenia!S299+Założenia!S287*Założenia!S302)*Założenia!$E$158*Założenia!$E$160)*(1+(Założenia!S303-Założenia!$D$303)*Założenia!$E$162)+Opcje!T48*Założenia!$E$183+Opcje!T49*Założenia!$E$182+Założenia!$H$183*Założenia!$E$183</f>
        <v>357199.93154868711</v>
      </c>
    </row>
    <row r="33" spans="1:21" s="11" customFormat="1" ht="12">
      <c r="A33" s="37" t="s">
        <v>60</v>
      </c>
      <c r="B33" s="101" t="s">
        <v>7</v>
      </c>
      <c r="C33" s="253" t="s">
        <v>0</v>
      </c>
      <c r="D33" s="254"/>
      <c r="E33" s="19">
        <f>Założenia!$F$198-Założenia!$G$209*(Założenia!D267+Założenia!D279)</f>
        <v>31748.132442352944</v>
      </c>
      <c r="F33" s="19">
        <f>Założenia!$F$198-Założenia!$G$209*(Założenia!E267+Założenia!E279)</f>
        <v>31748.132442352944</v>
      </c>
      <c r="G33" s="19">
        <f>Założenia!$F$198-Założenia!$G$209*(Założenia!F267+Założenia!F279)</f>
        <v>31748.132442352944</v>
      </c>
      <c r="H33" s="19">
        <f>Założenia!$F$198-Założenia!$G$209*(Założenia!G267+Założenia!G279)</f>
        <v>31748.132442352944</v>
      </c>
      <c r="I33" s="19">
        <f>Założenia!$F$198-Założenia!$G$209*(Założenia!H267+Założenia!H279)</f>
        <v>31748.132442352944</v>
      </c>
      <c r="J33" s="19">
        <f>Założenia!$F$198-Założenia!$G$209*(Założenia!I267+Założenia!I279)</f>
        <v>31748.132442352944</v>
      </c>
      <c r="K33" s="19">
        <f>Założenia!$F$198-Założenia!$G$209*(Założenia!J267+Założenia!J279)</f>
        <v>31748.132442352944</v>
      </c>
      <c r="L33" s="19">
        <f>Założenia!$F$198-Założenia!$G$209*(Założenia!K267+Założenia!K279)</f>
        <v>31748.132442352944</v>
      </c>
      <c r="M33" s="19">
        <f>Założenia!$F$198-Założenia!$G$209*(Założenia!L267+Założenia!L279)</f>
        <v>31748.132442352944</v>
      </c>
      <c r="N33" s="19">
        <f>Założenia!$F$198-Założenia!$G$209*(Założenia!M267+Założenia!M279)</f>
        <v>31748.132442352944</v>
      </c>
      <c r="O33" s="19">
        <f>Założenia!$F$198-Założenia!$G$209*(Założenia!N267+Założenia!N279)</f>
        <v>31748.132442352944</v>
      </c>
      <c r="P33" s="19">
        <f>Założenia!$F$198-Założenia!$G$209*(Założenia!O267+Założenia!O279)</f>
        <v>31748.132442352944</v>
      </c>
      <c r="Q33" s="19">
        <f>Założenia!$F$198-Założenia!$G$209*(Założenia!P267+Założenia!P279)</f>
        <v>31748.132442352944</v>
      </c>
      <c r="R33" s="19">
        <f>Założenia!$F$198-Założenia!$G$209*(Założenia!Q267+Założenia!Q279)</f>
        <v>31748.132442352944</v>
      </c>
      <c r="S33" s="19">
        <f>Założenia!$F$198-Założenia!$G$209*(Założenia!R267+Założenia!R279)</f>
        <v>31748.132442352944</v>
      </c>
      <c r="T33" s="19">
        <f>Założenia!$F$198-Założenia!$G$209*(Założenia!S267+Założenia!S279)</f>
        <v>31748.132442352944</v>
      </c>
    </row>
    <row r="34" spans="1:21" s="11" customFormat="1" ht="12">
      <c r="A34" s="37" t="s">
        <v>68</v>
      </c>
      <c r="B34" s="133" t="s">
        <v>9</v>
      </c>
      <c r="C34" s="253" t="s">
        <v>0</v>
      </c>
      <c r="D34" s="254"/>
      <c r="E34" s="19">
        <f>Założenia!$F$188</f>
        <v>2074596.3223008001</v>
      </c>
      <c r="F34" s="19">
        <f>Założenia!$G$188</f>
        <v>2074596.3223008001</v>
      </c>
      <c r="G34" s="19">
        <f>Założenia!$G$188</f>
        <v>2074596.3223008001</v>
      </c>
      <c r="H34" s="19">
        <f>Założenia!$G$188</f>
        <v>2074596.3223008001</v>
      </c>
      <c r="I34" s="19">
        <f>Założenia!$G$188</f>
        <v>2074596.3223008001</v>
      </c>
      <c r="J34" s="19">
        <f>Założenia!$G$188</f>
        <v>2074596.3223008001</v>
      </c>
      <c r="K34" s="19">
        <f>Założenia!$G$188</f>
        <v>2074596.3223008001</v>
      </c>
      <c r="L34" s="19">
        <f>Założenia!$G$188</f>
        <v>2074596.3223008001</v>
      </c>
      <c r="M34" s="19">
        <f>Założenia!$G$188</f>
        <v>2074596.3223008001</v>
      </c>
      <c r="N34" s="19">
        <f>Założenia!$G$188</f>
        <v>2074596.3223008001</v>
      </c>
      <c r="O34" s="19">
        <f>Założenia!$G$188</f>
        <v>2074596.3223008001</v>
      </c>
      <c r="P34" s="19">
        <f>Założenia!$G$188</f>
        <v>2074596.3223008001</v>
      </c>
      <c r="Q34" s="19">
        <f>Założenia!$G$188</f>
        <v>2074596.3223008001</v>
      </c>
      <c r="R34" s="19">
        <f>Założenia!$G$188</f>
        <v>2074596.3223008001</v>
      </c>
      <c r="S34" s="19">
        <f>Założenia!$G$188</f>
        <v>2074596.3223008001</v>
      </c>
      <c r="T34" s="19">
        <f>Założenia!$G$188</f>
        <v>2074596.3223008001</v>
      </c>
    </row>
    <row r="35" spans="1:21" s="11" customFormat="1" ht="12">
      <c r="A35" s="37" t="s">
        <v>69</v>
      </c>
      <c r="B35" s="94" t="s">
        <v>374</v>
      </c>
      <c r="C35" s="253" t="s">
        <v>0</v>
      </c>
      <c r="D35" s="254"/>
      <c r="E35" s="19">
        <f>Założenia!$F$189</f>
        <v>518649.08057520003</v>
      </c>
      <c r="F35" s="19">
        <f>Założenia!$G$189</f>
        <v>518649.08057520003</v>
      </c>
      <c r="G35" s="19">
        <f>Założenia!$G$189</f>
        <v>518649.08057520003</v>
      </c>
      <c r="H35" s="19">
        <f>Założenia!$G$189</f>
        <v>518649.08057520003</v>
      </c>
      <c r="I35" s="19">
        <f>Założenia!$G$189</f>
        <v>518649.08057520003</v>
      </c>
      <c r="J35" s="19">
        <f>Założenia!$G$189</f>
        <v>518649.08057520003</v>
      </c>
      <c r="K35" s="19">
        <f>Założenia!$G$189</f>
        <v>518649.08057520003</v>
      </c>
      <c r="L35" s="19">
        <f>Założenia!$G$189</f>
        <v>518649.08057520003</v>
      </c>
      <c r="M35" s="19">
        <f>Założenia!$G$189</f>
        <v>518649.08057520003</v>
      </c>
      <c r="N35" s="19">
        <f>Założenia!$G$189</f>
        <v>518649.08057520003</v>
      </c>
      <c r="O35" s="19">
        <f>Założenia!$G$189</f>
        <v>518649.08057520003</v>
      </c>
      <c r="P35" s="19">
        <f>Założenia!$G$189</f>
        <v>518649.08057520003</v>
      </c>
      <c r="Q35" s="19">
        <f>Założenia!$G$189</f>
        <v>518649.08057520003</v>
      </c>
      <c r="R35" s="19">
        <f>Założenia!$G$189</f>
        <v>518649.08057520003</v>
      </c>
      <c r="S35" s="19">
        <f>Założenia!$G$189</f>
        <v>518649.08057520003</v>
      </c>
      <c r="T35" s="19">
        <f>Założenia!$G$189</f>
        <v>518649.08057520003</v>
      </c>
    </row>
    <row r="36" spans="1:21" s="11" customFormat="1" ht="12">
      <c r="A36" s="37" t="s">
        <v>383</v>
      </c>
      <c r="B36" s="134" t="s">
        <v>8</v>
      </c>
      <c r="C36" s="253" t="s">
        <v>0</v>
      </c>
      <c r="D36" s="254"/>
      <c r="E36" s="19">
        <f>E37+E38</f>
        <v>971046.14945999987</v>
      </c>
      <c r="F36" s="19">
        <f t="shared" ref="F36:T36" si="9">F37+F38</f>
        <v>971046.14945999987</v>
      </c>
      <c r="G36" s="19">
        <f t="shared" si="9"/>
        <v>971046.14945999987</v>
      </c>
      <c r="H36" s="19">
        <f t="shared" si="9"/>
        <v>971046.14945999987</v>
      </c>
      <c r="I36" s="19">
        <f t="shared" si="9"/>
        <v>971046.14945999987</v>
      </c>
      <c r="J36" s="19">
        <f t="shared" si="9"/>
        <v>971046.14945999987</v>
      </c>
      <c r="K36" s="19">
        <f t="shared" si="9"/>
        <v>971046.14945999987</v>
      </c>
      <c r="L36" s="19">
        <f t="shared" si="9"/>
        <v>971046.14945999987</v>
      </c>
      <c r="M36" s="19">
        <f t="shared" si="9"/>
        <v>971046.14945999987</v>
      </c>
      <c r="N36" s="19">
        <f t="shared" si="9"/>
        <v>971046.14945999987</v>
      </c>
      <c r="O36" s="19">
        <f t="shared" si="9"/>
        <v>971046.14945999987</v>
      </c>
      <c r="P36" s="19">
        <f t="shared" si="9"/>
        <v>971046.14945999987</v>
      </c>
      <c r="Q36" s="19">
        <f t="shared" si="9"/>
        <v>971046.14945999987</v>
      </c>
      <c r="R36" s="19">
        <f t="shared" si="9"/>
        <v>971046.14945999987</v>
      </c>
      <c r="S36" s="19">
        <f t="shared" si="9"/>
        <v>971046.14945999987</v>
      </c>
      <c r="T36" s="19">
        <f t="shared" si="9"/>
        <v>971046.14945999987</v>
      </c>
    </row>
    <row r="37" spans="1:21" s="1" customFormat="1" ht="12">
      <c r="A37" s="82" t="s">
        <v>384</v>
      </c>
      <c r="B37" s="97" t="s">
        <v>148</v>
      </c>
      <c r="C37" s="175" t="s">
        <v>0</v>
      </c>
      <c r="D37" s="252"/>
      <c r="E37" s="20">
        <f>Założenia!$E$209*(Założenia!D267+Założenia!D279)+Założenia!$F$209*Założenia!D277</f>
        <v>82560.139200000005</v>
      </c>
      <c r="F37" s="20">
        <f>Założenia!$E$209*(Założenia!E267+Założenia!E279)+Założenia!$F$209*Założenia!E277</f>
        <v>82560.139200000005</v>
      </c>
      <c r="G37" s="20">
        <f>Założenia!$E$209*(Założenia!F267+Założenia!F279)+Założenia!$F$209*Założenia!F277</f>
        <v>82560.139200000005</v>
      </c>
      <c r="H37" s="20">
        <f>Założenia!$E$209*(Założenia!G267+Założenia!G279)+Założenia!$F$209*Założenia!G277</f>
        <v>82560.139200000005</v>
      </c>
      <c r="I37" s="20">
        <f>Założenia!$E$209*(Założenia!H267+Założenia!H279)+Założenia!$F$209*Założenia!H277</f>
        <v>82560.139200000005</v>
      </c>
      <c r="J37" s="20">
        <f>Założenia!$E$209*(Założenia!I267+Założenia!I279)+Założenia!$F$209*Założenia!I277</f>
        <v>82560.139200000005</v>
      </c>
      <c r="K37" s="20">
        <f>Założenia!$E$209*(Założenia!J267+Założenia!J279)+Założenia!$F$209*Założenia!J277</f>
        <v>82560.139200000005</v>
      </c>
      <c r="L37" s="20">
        <f>Założenia!$E$209*(Założenia!K267+Założenia!K279)+Założenia!$F$209*Założenia!K277</f>
        <v>82560.139200000005</v>
      </c>
      <c r="M37" s="20">
        <f>Założenia!$E$209*(Założenia!L267+Założenia!L279)+Założenia!$F$209*Założenia!L277</f>
        <v>82560.139200000005</v>
      </c>
      <c r="N37" s="20">
        <f>Założenia!$E$209*(Założenia!M267+Założenia!M279)+Założenia!$F$209*Założenia!M277</f>
        <v>82560.139200000005</v>
      </c>
      <c r="O37" s="20">
        <f>Założenia!$E$209*(Założenia!N267+Założenia!N279)+Założenia!$F$209*Założenia!N277</f>
        <v>82560.139200000005</v>
      </c>
      <c r="P37" s="20">
        <f>Założenia!$E$209*(Założenia!O267+Założenia!O279)+Założenia!$F$209*Założenia!O277</f>
        <v>82560.139200000005</v>
      </c>
      <c r="Q37" s="20">
        <f>Założenia!$E$209*(Założenia!P267+Założenia!P279)+Założenia!$F$209*Założenia!P277</f>
        <v>82560.139200000005</v>
      </c>
      <c r="R37" s="20">
        <f>Założenia!$E$209*(Założenia!Q267+Założenia!Q279)+Założenia!$F$209*Założenia!Q277</f>
        <v>82560.139200000005</v>
      </c>
      <c r="S37" s="20">
        <f>Założenia!$E$209*(Założenia!R267+Założenia!R279)+Założenia!$F$209*Założenia!R277</f>
        <v>82560.139200000005</v>
      </c>
      <c r="T37" s="20">
        <f>Założenia!$E$209*(Założenia!S267+Założenia!S279)+Założenia!$F$209*Założenia!S277</f>
        <v>82560.139200000005</v>
      </c>
    </row>
    <row r="38" spans="1:21" s="1" customFormat="1" ht="12">
      <c r="A38" s="82" t="s">
        <v>385</v>
      </c>
      <c r="B38" s="97" t="s">
        <v>79</v>
      </c>
      <c r="C38" s="175" t="s">
        <v>0</v>
      </c>
      <c r="D38" s="252"/>
      <c r="E38" s="20">
        <f>Założenia!$F$200-Założenia!$F$209*Założenia!D277</f>
        <v>888486.01025999989</v>
      </c>
      <c r="F38" s="20">
        <f>Założenia!$F$200-Założenia!$F$209*Założenia!E277</f>
        <v>888486.01025999989</v>
      </c>
      <c r="G38" s="20">
        <f>Założenia!$F$200-Założenia!$F$209*Założenia!F277</f>
        <v>888486.01025999989</v>
      </c>
      <c r="H38" s="20">
        <f>Założenia!$F$200-Założenia!$F$209*Założenia!G277</f>
        <v>888486.01025999989</v>
      </c>
      <c r="I38" s="20">
        <f>Założenia!$F$200-Założenia!$F$209*Założenia!H277</f>
        <v>888486.01025999989</v>
      </c>
      <c r="J38" s="20">
        <f>Założenia!$F$200-Założenia!$F$209*Założenia!I277</f>
        <v>888486.01025999989</v>
      </c>
      <c r="K38" s="20">
        <f>Założenia!$F$200-Założenia!$F$209*Założenia!J277</f>
        <v>888486.01025999989</v>
      </c>
      <c r="L38" s="20">
        <f>Założenia!$F$200-Założenia!$F$209*Założenia!K277</f>
        <v>888486.01025999989</v>
      </c>
      <c r="M38" s="20">
        <f>Założenia!$F$200-Założenia!$F$209*Założenia!L277</f>
        <v>888486.01025999989</v>
      </c>
      <c r="N38" s="20">
        <f>Założenia!$F$200-Założenia!$F$209*Założenia!M277</f>
        <v>888486.01025999989</v>
      </c>
      <c r="O38" s="20">
        <f>Założenia!$F$200-Założenia!$F$209*Założenia!N277</f>
        <v>888486.01025999989</v>
      </c>
      <c r="P38" s="20">
        <f>Założenia!$F$200-Założenia!$F$209*Założenia!O277</f>
        <v>888486.01025999989</v>
      </c>
      <c r="Q38" s="20">
        <f>Założenia!$F$200-Założenia!$F$209*Założenia!P277</f>
        <v>888486.01025999989</v>
      </c>
      <c r="R38" s="20">
        <f>Założenia!$F$200-Założenia!$F$209*Założenia!Q277</f>
        <v>888486.01025999989</v>
      </c>
      <c r="S38" s="20">
        <f>Założenia!$F$200-Założenia!$F$209*Założenia!R277</f>
        <v>888486.01025999989</v>
      </c>
      <c r="T38" s="20">
        <f>Założenia!$F$200-Założenia!$F$209*Założenia!S277</f>
        <v>888486.01025999989</v>
      </c>
    </row>
    <row r="39" spans="1:21" s="1" customFormat="1" ht="12">
      <c r="A39" s="37" t="s">
        <v>351</v>
      </c>
      <c r="B39" s="251" t="s">
        <v>380</v>
      </c>
      <c r="C39" s="175" t="s">
        <v>0</v>
      </c>
      <c r="D39" s="252"/>
      <c r="E39" s="19">
        <f>Założenia!$F$201</f>
        <v>964893.791784</v>
      </c>
      <c r="F39" s="19">
        <f>Założenia!$F$201</f>
        <v>964893.791784</v>
      </c>
      <c r="G39" s="19">
        <f>Założenia!$F$201</f>
        <v>964893.791784</v>
      </c>
      <c r="H39" s="19">
        <f>Założenia!$F$201</f>
        <v>964893.791784</v>
      </c>
      <c r="I39" s="19">
        <f>Założenia!$F$201</f>
        <v>964893.791784</v>
      </c>
      <c r="J39" s="19">
        <f>Założenia!$F$201</f>
        <v>964893.791784</v>
      </c>
      <c r="K39" s="19">
        <f>Założenia!$F$201</f>
        <v>964893.791784</v>
      </c>
      <c r="L39" s="19">
        <f>Założenia!$F$201</f>
        <v>964893.791784</v>
      </c>
      <c r="M39" s="19">
        <f>Założenia!$F$201</f>
        <v>964893.791784</v>
      </c>
      <c r="N39" s="19">
        <f>Założenia!$F$201</f>
        <v>964893.791784</v>
      </c>
      <c r="O39" s="19">
        <f>Założenia!$F$201</f>
        <v>964893.791784</v>
      </c>
      <c r="P39" s="19">
        <f>Założenia!$F$201</f>
        <v>964893.791784</v>
      </c>
      <c r="Q39" s="19">
        <f>Założenia!$F$201</f>
        <v>964893.791784</v>
      </c>
      <c r="R39" s="19">
        <f>Założenia!$F$201</f>
        <v>964893.791784</v>
      </c>
      <c r="S39" s="19">
        <f>Założenia!$F$201</f>
        <v>964893.791784</v>
      </c>
      <c r="T39" s="19">
        <f>Założenia!$F$201</f>
        <v>964893.791784</v>
      </c>
    </row>
    <row r="40" spans="1:21" s="23" customFormat="1">
      <c r="A40" s="11"/>
      <c r="B40" s="255"/>
      <c r="C40" s="4"/>
      <c r="D40" s="4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11"/>
    </row>
    <row r="41" spans="1:21" s="1" customFormat="1" ht="12">
      <c r="A41" s="227" t="s">
        <v>25</v>
      </c>
      <c r="B41" s="81" t="s">
        <v>218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1" s="23" customFormat="1">
      <c r="A42" s="37" t="s">
        <v>33</v>
      </c>
      <c r="B42" s="133" t="s">
        <v>151</v>
      </c>
      <c r="C42" s="175" t="s">
        <v>0</v>
      </c>
      <c r="D42" s="253"/>
      <c r="E42" s="92">
        <f t="shared" ref="E42:T42" si="10">E44*E49</f>
        <v>424104.24730364338</v>
      </c>
      <c r="F42" s="92">
        <f t="shared" si="10"/>
        <v>482495.7180961218</v>
      </c>
      <c r="G42" s="92">
        <f t="shared" si="10"/>
        <v>544618.84605591942</v>
      </c>
      <c r="H42" s="92">
        <f t="shared" si="10"/>
        <v>606058.87420065841</v>
      </c>
      <c r="I42" s="92">
        <f t="shared" si="10"/>
        <v>667897.72748406243</v>
      </c>
      <c r="J42" s="92">
        <f t="shared" si="10"/>
        <v>728633.89351610269</v>
      </c>
      <c r="K42" s="92">
        <f t="shared" si="10"/>
        <v>785466.83341556077</v>
      </c>
      <c r="L42" s="92">
        <f t="shared" si="10"/>
        <v>845354.20693150104</v>
      </c>
      <c r="M42" s="92">
        <f t="shared" si="10"/>
        <v>904959.69047340867</v>
      </c>
      <c r="N42" s="92">
        <f t="shared" si="10"/>
        <v>1004010.310724632</v>
      </c>
      <c r="O42" s="92">
        <f t="shared" si="10"/>
        <v>1100567.0337938236</v>
      </c>
      <c r="P42" s="92">
        <f t="shared" si="10"/>
        <v>1196288.0359988229</v>
      </c>
      <c r="Q42" s="92">
        <f t="shared" si="10"/>
        <v>1291173.317339631</v>
      </c>
      <c r="R42" s="92">
        <f t="shared" si="10"/>
        <v>1385222.8778162471</v>
      </c>
      <c r="S42" s="92">
        <f t="shared" si="10"/>
        <v>1474899.7874826705</v>
      </c>
      <c r="T42" s="92">
        <f t="shared" si="10"/>
        <v>1562114.3053170999</v>
      </c>
      <c r="U42" s="11"/>
    </row>
    <row r="43" spans="1:21" s="23" customFormat="1" ht="13.5">
      <c r="A43" s="82"/>
      <c r="B43" s="96" t="s">
        <v>356</v>
      </c>
      <c r="C43" s="175" t="s">
        <v>165</v>
      </c>
      <c r="D43" s="175"/>
      <c r="E43" s="140">
        <f>Założenia!E96</f>
        <v>2.68</v>
      </c>
      <c r="F43" s="140">
        <f>Założenia!F96</f>
        <v>2.68</v>
      </c>
      <c r="G43" s="140">
        <f>Założenia!G96</f>
        <v>2.68</v>
      </c>
      <c r="H43" s="140">
        <f>Założenia!H96</f>
        <v>2.68</v>
      </c>
      <c r="I43" s="140">
        <f>Założenia!I96</f>
        <v>2.68</v>
      </c>
      <c r="J43" s="140">
        <f>Założenia!J96</f>
        <v>2.68</v>
      </c>
      <c r="K43" s="140">
        <f>Założenia!K96</f>
        <v>2.68</v>
      </c>
      <c r="L43" s="140">
        <f>Założenia!L96</f>
        <v>2.68</v>
      </c>
      <c r="M43" s="140">
        <f>Założenia!M96</f>
        <v>2.68</v>
      </c>
      <c r="N43" s="140">
        <f>Założenia!N96</f>
        <v>2.68</v>
      </c>
      <c r="O43" s="140">
        <f>Założenia!O96</f>
        <v>2.68</v>
      </c>
      <c r="P43" s="140">
        <f>Założenia!P96</f>
        <v>2.68</v>
      </c>
      <c r="Q43" s="140">
        <f>Założenia!Q96</f>
        <v>2.68</v>
      </c>
      <c r="R43" s="140">
        <f>Założenia!R96</f>
        <v>2.68</v>
      </c>
      <c r="S43" s="140">
        <f>Założenia!S96</f>
        <v>2.68</v>
      </c>
      <c r="T43" s="140">
        <f>Założenia!T96</f>
        <v>2.68</v>
      </c>
      <c r="U43" s="11"/>
    </row>
    <row r="44" spans="1:21" s="23" customFormat="1" ht="13.5">
      <c r="A44" s="82"/>
      <c r="B44" s="96" t="s">
        <v>149</v>
      </c>
      <c r="C44" s="175" t="s">
        <v>150</v>
      </c>
      <c r="D44" s="175"/>
      <c r="E44" s="141">
        <f>Założenia!E97</f>
        <v>655.58463225699438</v>
      </c>
      <c r="F44" s="141">
        <f>Założenia!F97</f>
        <v>753.34725285672152</v>
      </c>
      <c r="G44" s="141">
        <f>Założenia!G97</f>
        <v>851.10987345644878</v>
      </c>
      <c r="H44" s="141">
        <f>Założenia!H97</f>
        <v>948.87249405617604</v>
      </c>
      <c r="I44" s="141">
        <f>Założenia!I97</f>
        <v>1046.6351146559032</v>
      </c>
      <c r="J44" s="141">
        <f>Założenia!J97</f>
        <v>1144.3977352556303</v>
      </c>
      <c r="K44" s="141">
        <f>Założenia!K97</f>
        <v>1242.1603558553577</v>
      </c>
      <c r="L44" s="141">
        <f>Założenia!L97</f>
        <v>1339.9229764550848</v>
      </c>
      <c r="M44" s="141">
        <f>Założenia!M97</f>
        <v>1437.685597054812</v>
      </c>
      <c r="N44" s="141">
        <f>Założenia!N97</f>
        <v>1598.7063839249508</v>
      </c>
      <c r="O44" s="141">
        <f>Założenia!O97</f>
        <v>1759.7271707950902</v>
      </c>
      <c r="P44" s="141">
        <f>Założenia!P97</f>
        <v>1920.747957665229</v>
      </c>
      <c r="Q44" s="141">
        <f>Założenia!Q97</f>
        <v>2081.7687445353681</v>
      </c>
      <c r="R44" s="141">
        <f>Założenia!R97</f>
        <v>2242.7895314055068</v>
      </c>
      <c r="S44" s="141">
        <f>Założenia!S97</f>
        <v>2398.0595758874269</v>
      </c>
      <c r="T44" s="141">
        <f>Założenia!T97</f>
        <v>2553.3296203693462</v>
      </c>
      <c r="U44" s="11"/>
    </row>
    <row r="45" spans="1:21" s="23" customFormat="1">
      <c r="A45" s="82"/>
      <c r="B45" s="96" t="s">
        <v>432</v>
      </c>
      <c r="C45" s="175" t="s">
        <v>134</v>
      </c>
      <c r="D45" s="175"/>
      <c r="E45" s="91">
        <f>Założenia!D297</f>
        <v>49254.297058823526</v>
      </c>
      <c r="F45" s="91">
        <f>Założenia!E297</f>
        <v>48599.178308823524</v>
      </c>
      <c r="G45" s="91">
        <f>Założenia!F297</f>
        <v>48599.178308823524</v>
      </c>
      <c r="H45" s="91">
        <f>Założenia!G297</f>
        <v>48714.787499999999</v>
      </c>
      <c r="I45" s="91">
        <f>Założenia!H297</f>
        <v>48714.787499999999</v>
      </c>
      <c r="J45" s="91">
        <f>Założenia!I297</f>
        <v>48714.787499999999</v>
      </c>
      <c r="K45" s="91">
        <f>Założenia!J297</f>
        <v>49788.805263157898</v>
      </c>
      <c r="L45" s="91">
        <f>Założenia!K297</f>
        <v>49788.805263157898</v>
      </c>
      <c r="M45" s="91">
        <f>Założenia!L297</f>
        <v>49788.805263157898</v>
      </c>
      <c r="N45" s="91">
        <f>Założenia!M297</f>
        <v>49788.805263157898</v>
      </c>
      <c r="O45" s="91">
        <f>Założenia!N297</f>
        <v>49788.805263157898</v>
      </c>
      <c r="P45" s="91">
        <f>Założenia!O297</f>
        <v>49788.805263157898</v>
      </c>
      <c r="Q45" s="91">
        <f>Założenia!P297</f>
        <v>49788.805263157898</v>
      </c>
      <c r="R45" s="91">
        <f>Założenia!Q297</f>
        <v>49788.805263157898</v>
      </c>
      <c r="S45" s="91">
        <f>Założenia!R297</f>
        <v>49788.805263157898</v>
      </c>
      <c r="T45" s="91">
        <f>Założenia!S297</f>
        <v>49788.805263157898</v>
      </c>
      <c r="U45" s="11"/>
    </row>
    <row r="46" spans="1:21" s="23" customFormat="1">
      <c r="A46" s="82"/>
      <c r="B46" s="96" t="s">
        <v>435</v>
      </c>
      <c r="C46" s="175" t="s">
        <v>134</v>
      </c>
      <c r="D46" s="175"/>
      <c r="E46" s="91">
        <f>Założenia!D299</f>
        <v>38735.5</v>
      </c>
      <c r="F46" s="91">
        <f>Założenia!E299</f>
        <v>38735.5</v>
      </c>
      <c r="G46" s="91">
        <f>Założenia!F299</f>
        <v>38735.5</v>
      </c>
      <c r="H46" s="91">
        <f>Założenia!G299</f>
        <v>38735.5</v>
      </c>
      <c r="I46" s="91">
        <f>Założenia!H299</f>
        <v>38735.5</v>
      </c>
      <c r="J46" s="91">
        <f>Założenia!I299</f>
        <v>38735.5</v>
      </c>
      <c r="K46" s="91">
        <f>Założenia!J299</f>
        <v>38735.5</v>
      </c>
      <c r="L46" s="91">
        <f>Założenia!K299</f>
        <v>38735.5</v>
      </c>
      <c r="M46" s="91">
        <f>Założenia!L299</f>
        <v>38735.5</v>
      </c>
      <c r="N46" s="91">
        <f>Założenia!M299</f>
        <v>38735.5</v>
      </c>
      <c r="O46" s="91">
        <f>Założenia!N299</f>
        <v>38735.5</v>
      </c>
      <c r="P46" s="91">
        <f>Założenia!O299</f>
        <v>38735.5</v>
      </c>
      <c r="Q46" s="91">
        <f>Założenia!P299</f>
        <v>38735.5</v>
      </c>
      <c r="R46" s="91">
        <f>Założenia!Q299</f>
        <v>38735.5</v>
      </c>
      <c r="S46" s="91">
        <f>Założenia!R299</f>
        <v>38735.5</v>
      </c>
      <c r="T46" s="91">
        <f>Założenia!S299</f>
        <v>38735.5</v>
      </c>
      <c r="U46" s="11"/>
    </row>
    <row r="47" spans="1:21" s="23" customFormat="1">
      <c r="A47" s="82"/>
      <c r="B47" s="96" t="s">
        <v>434</v>
      </c>
      <c r="C47" s="175" t="s">
        <v>134</v>
      </c>
      <c r="D47" s="175"/>
      <c r="E47" s="91">
        <f>Założenia!D301</f>
        <v>56133.482352941181</v>
      </c>
      <c r="F47" s="91">
        <f>Założenia!E301</f>
        <v>56133.482352941181</v>
      </c>
      <c r="G47" s="91">
        <f>Założenia!F301</f>
        <v>56133.482352941181</v>
      </c>
      <c r="H47" s="91">
        <f>Założenia!G301</f>
        <v>55516.9</v>
      </c>
      <c r="I47" s="91">
        <f>Założenia!H301</f>
        <v>55516.9</v>
      </c>
      <c r="J47" s="91">
        <f>Założenia!I301</f>
        <v>55516.9</v>
      </c>
      <c r="K47" s="91">
        <f>Założenia!J301</f>
        <v>49788.805263157905</v>
      </c>
      <c r="L47" s="91">
        <f>Założenia!K301</f>
        <v>49788.805263157905</v>
      </c>
      <c r="M47" s="91">
        <f>Założenia!L301</f>
        <v>49788.805263157905</v>
      </c>
      <c r="N47" s="91">
        <f>Założenia!M301</f>
        <v>49788.805263157905</v>
      </c>
      <c r="O47" s="91">
        <f>Założenia!N301</f>
        <v>49788.805263157905</v>
      </c>
      <c r="P47" s="91">
        <f>Założenia!O301</f>
        <v>49788.805263157905</v>
      </c>
      <c r="Q47" s="91">
        <f>Założenia!P301</f>
        <v>49788.805263157905</v>
      </c>
      <c r="R47" s="91">
        <f>Założenia!Q301</f>
        <v>49788.805263157905</v>
      </c>
      <c r="S47" s="91">
        <f>Założenia!R301</f>
        <v>49788.805263157905</v>
      </c>
      <c r="T47" s="91">
        <f>Założenia!S301</f>
        <v>49788.805263157905</v>
      </c>
      <c r="U47" s="11"/>
    </row>
    <row r="48" spans="1:21" s="23" customFormat="1">
      <c r="A48" s="82"/>
      <c r="B48" s="96" t="s">
        <v>433</v>
      </c>
      <c r="C48" s="175" t="s">
        <v>134</v>
      </c>
      <c r="D48" s="175"/>
      <c r="E48" s="91">
        <f>Założenia!D302</f>
        <v>0</v>
      </c>
      <c r="F48" s="91">
        <f>Założenia!E302</f>
        <v>0</v>
      </c>
      <c r="G48" s="91">
        <f>Założenia!F302</f>
        <v>0</v>
      </c>
      <c r="H48" s="91">
        <f>Założenia!G302</f>
        <v>0</v>
      </c>
      <c r="I48" s="91">
        <f>Założenia!H302</f>
        <v>0</v>
      </c>
      <c r="J48" s="91">
        <f>Założenia!I302</f>
        <v>0</v>
      </c>
      <c r="K48" s="91">
        <f>Założenia!J302</f>
        <v>0</v>
      </c>
      <c r="L48" s="91">
        <f>Założenia!K302</f>
        <v>0</v>
      </c>
      <c r="M48" s="91">
        <f>Założenia!L302</f>
        <v>0</v>
      </c>
      <c r="N48" s="91">
        <f>Założenia!M302</f>
        <v>0</v>
      </c>
      <c r="O48" s="91">
        <f>Założenia!N302</f>
        <v>0</v>
      </c>
      <c r="P48" s="91">
        <f>Założenia!O302</f>
        <v>0</v>
      </c>
      <c r="Q48" s="91">
        <f>Założenia!P302</f>
        <v>0</v>
      </c>
      <c r="R48" s="91">
        <f>Założenia!Q302</f>
        <v>0</v>
      </c>
      <c r="S48" s="91">
        <f>Założenia!R302</f>
        <v>0</v>
      </c>
      <c r="T48" s="91">
        <f>Założenia!S302</f>
        <v>0</v>
      </c>
      <c r="U48" s="11"/>
    </row>
    <row r="49" spans="1:21" s="23" customFormat="1" ht="13.5">
      <c r="A49" s="82"/>
      <c r="B49" s="96" t="s">
        <v>226</v>
      </c>
      <c r="C49" s="175" t="s">
        <v>215</v>
      </c>
      <c r="D49" s="175"/>
      <c r="E49" s="91">
        <f>E50+E57</f>
        <v>646.90998909411769</v>
      </c>
      <c r="F49" s="91">
        <f t="shared" ref="F49:T49" si="11">F50+F57</f>
        <v>640.46920761505351</v>
      </c>
      <c r="G49" s="91">
        <f t="shared" si="11"/>
        <v>639.89252509098935</v>
      </c>
      <c r="H49" s="91">
        <f t="shared" si="11"/>
        <v>638.71476726016044</v>
      </c>
      <c r="I49" s="91">
        <f t="shared" si="11"/>
        <v>638.13808473609618</v>
      </c>
      <c r="J49" s="91">
        <f t="shared" si="11"/>
        <v>636.69637842593579</v>
      </c>
      <c r="K49" s="91">
        <f t="shared" si="11"/>
        <v>632.33931892367025</v>
      </c>
      <c r="L49" s="91">
        <f t="shared" si="11"/>
        <v>630.89761261350975</v>
      </c>
      <c r="M49" s="91">
        <f t="shared" si="11"/>
        <v>629.45590630334937</v>
      </c>
      <c r="N49" s="91">
        <f t="shared" si="11"/>
        <v>628.01419999318898</v>
      </c>
      <c r="O49" s="91">
        <f t="shared" si="11"/>
        <v>625.41912863490018</v>
      </c>
      <c r="P49" s="91">
        <f t="shared" si="11"/>
        <v>622.82405727661137</v>
      </c>
      <c r="Q49" s="91">
        <f t="shared" si="11"/>
        <v>620.22898591832268</v>
      </c>
      <c r="R49" s="91">
        <f t="shared" si="11"/>
        <v>617.63391456003387</v>
      </c>
      <c r="S49" s="91">
        <f t="shared" si="11"/>
        <v>615.03884320174507</v>
      </c>
      <c r="T49" s="91">
        <f t="shared" si="11"/>
        <v>611.79500400388406</v>
      </c>
      <c r="U49" s="11"/>
    </row>
    <row r="50" spans="1:21" s="23" customFormat="1" ht="13.5">
      <c r="A50" s="82"/>
      <c r="B50" s="133" t="s">
        <v>314</v>
      </c>
      <c r="C50" s="175" t="s">
        <v>215</v>
      </c>
      <c r="D50" s="175"/>
      <c r="E50" s="91">
        <f>SUM(E51:E56)</f>
        <v>589.81841921176476</v>
      </c>
      <c r="F50" s="91">
        <f t="shared" ref="F50:T50" si="12">SUM(F51:F56)</f>
        <v>583.95432025676473</v>
      </c>
      <c r="G50" s="91">
        <f t="shared" si="12"/>
        <v>583.95432025676473</v>
      </c>
      <c r="H50" s="91">
        <f t="shared" si="12"/>
        <v>583.35324494999998</v>
      </c>
      <c r="I50" s="91">
        <f t="shared" si="12"/>
        <v>583.35324494999998</v>
      </c>
      <c r="J50" s="91">
        <f t="shared" si="12"/>
        <v>583.35324494999998</v>
      </c>
      <c r="K50" s="91">
        <f t="shared" si="12"/>
        <v>580.43789175789482</v>
      </c>
      <c r="L50" s="91">
        <f t="shared" si="12"/>
        <v>580.43789175789482</v>
      </c>
      <c r="M50" s="91">
        <f t="shared" si="12"/>
        <v>580.43789175789482</v>
      </c>
      <c r="N50" s="91">
        <f t="shared" si="12"/>
        <v>580.43789175789482</v>
      </c>
      <c r="O50" s="91">
        <f t="shared" si="12"/>
        <v>580.43789175789482</v>
      </c>
      <c r="P50" s="91">
        <f t="shared" si="12"/>
        <v>580.43789175789482</v>
      </c>
      <c r="Q50" s="91">
        <f t="shared" si="12"/>
        <v>580.43789175789482</v>
      </c>
      <c r="R50" s="91">
        <f t="shared" si="12"/>
        <v>580.43789175789482</v>
      </c>
      <c r="S50" s="91">
        <f t="shared" si="12"/>
        <v>580.43789175789482</v>
      </c>
      <c r="T50" s="91">
        <f t="shared" si="12"/>
        <v>580.43789175789482</v>
      </c>
      <c r="U50" s="11"/>
    </row>
    <row r="51" spans="1:21" s="23" customFormat="1" ht="13.5">
      <c r="A51" s="82"/>
      <c r="B51" s="96" t="s">
        <v>361</v>
      </c>
      <c r="C51" s="175" t="s">
        <v>215</v>
      </c>
      <c r="D51" s="175"/>
      <c r="E51" s="91">
        <f>Założenia!D268*E$45*E$43/1000*Założenia!$E51/100+Założenia!D280*E$47*E$43/1000*Założenia!$G51/100</f>
        <v>0</v>
      </c>
      <c r="F51" s="91">
        <f>Założenia!E268*F$45*F$43/1000*Założenia!$E51/100+Założenia!E280*F$47*F$43/1000*Założenia!$G51/100</f>
        <v>0</v>
      </c>
      <c r="G51" s="91">
        <f>Założenia!F268*G$45*G$43/1000*Założenia!$E51/100+Założenia!F280*G$47*G$43/1000*Założenia!$G51/100</f>
        <v>0</v>
      </c>
      <c r="H51" s="91">
        <f>Założenia!G268*H$45*H$43/1000*Założenia!$E51/100+Założenia!G280*H$47*H$43/1000*Założenia!$G51/100</f>
        <v>0</v>
      </c>
      <c r="I51" s="91">
        <f>Założenia!H268*I$45*I$43/1000*Założenia!$E51/100+Założenia!H280*I$47*I$43/1000*Założenia!$G51/100</f>
        <v>0</v>
      </c>
      <c r="J51" s="91">
        <f>Założenia!I268*J$45*J$43/1000*Założenia!$E51/100+Założenia!I280*J$47*J$43/1000*Założenia!$G51/100</f>
        <v>0</v>
      </c>
      <c r="K51" s="91">
        <f>Założenia!J268*K$45*K$43/1000*Założenia!$E51/100+Założenia!J280*K$47*K$43/1000*Założenia!$G51/100</f>
        <v>0</v>
      </c>
      <c r="L51" s="91">
        <f>Założenia!K268*L$45*L$43/1000*Założenia!$E51/100+Założenia!K280*L$47*L$43/1000*Założenia!$G51/100</f>
        <v>0</v>
      </c>
      <c r="M51" s="91">
        <f>Założenia!L268*M$45*M$43/1000*Założenia!$E51/100+Założenia!L280*M$47*M$43/1000*Założenia!$G51/100</f>
        <v>0</v>
      </c>
      <c r="N51" s="91">
        <f>Założenia!M268*N$45*N$43/1000*Założenia!$E51/100+Założenia!M280*N$47*N$43/1000*Założenia!$G51/100</f>
        <v>0</v>
      </c>
      <c r="O51" s="91">
        <f>Założenia!N268*O$45*O$43/1000*Założenia!$E51/100+Założenia!N280*O$47*O$43/1000*Założenia!$G51/100</f>
        <v>0</v>
      </c>
      <c r="P51" s="91">
        <f>Założenia!O268*P$45*P$43/1000*Założenia!$E51/100+Założenia!O280*P$47*P$43/1000*Założenia!$G51/100</f>
        <v>0</v>
      </c>
      <c r="Q51" s="91">
        <f>Założenia!P268*Q$45*Q$43/1000*Założenia!$E51/100+Założenia!P280*Q$47*Q$43/1000*Założenia!$G51/100</f>
        <v>0</v>
      </c>
      <c r="R51" s="91">
        <f>Założenia!Q268*R$45*R$43/1000*Założenia!$E51/100+Założenia!Q280*R$47*R$43/1000*Założenia!$G51/100</f>
        <v>0</v>
      </c>
      <c r="S51" s="91">
        <f>Założenia!R268*S$45*S$43/1000*Założenia!$E51/100+Założenia!R280*S$47*S$43/1000*Założenia!$G51/100</f>
        <v>0</v>
      </c>
      <c r="T51" s="91">
        <f>Założenia!S268*T$45*T$43/1000*Założenia!$E51/100+Założenia!S280*T$47*T$43/1000*Założenia!$G51/100</f>
        <v>0</v>
      </c>
      <c r="U51" s="11"/>
    </row>
    <row r="52" spans="1:21" s="1" customFormat="1" ht="13.5">
      <c r="A52" s="82"/>
      <c r="B52" s="96" t="s">
        <v>362</v>
      </c>
      <c r="C52" s="175" t="s">
        <v>215</v>
      </c>
      <c r="D52" s="252"/>
      <c r="E52" s="91">
        <f>Założenia!D269*E$45*E$43/1000*Założenia!$E52/100+Założenia!D281*E$47*E$43/1000*Założenia!$G52/100</f>
        <v>0</v>
      </c>
      <c r="F52" s="91">
        <f>Założenia!E269*F$45*F$43/1000*Założenia!$E52/100+Założenia!E281*F$47*F$43/1000*Założenia!$G52/100</f>
        <v>0</v>
      </c>
      <c r="G52" s="91">
        <f>Założenia!F269*G$45*G$43/1000*Założenia!$E52/100+Założenia!F281*G$47*G$43/1000*Założenia!$G52/100</f>
        <v>0</v>
      </c>
      <c r="H52" s="91">
        <f>Założenia!G269*H$45*H$43/1000*Założenia!$E52/100+Założenia!G281*H$47*H$43/1000*Założenia!$G52/100</f>
        <v>0</v>
      </c>
      <c r="I52" s="91">
        <f>Założenia!H269*I$45*I$43/1000*Założenia!$E52/100+Założenia!H281*I$47*I$43/1000*Założenia!$G52/100</f>
        <v>0</v>
      </c>
      <c r="J52" s="91">
        <f>Założenia!I269*J$45*J$43/1000*Założenia!$E52/100+Założenia!I281*J$47*J$43/1000*Założenia!$G52/100</f>
        <v>0</v>
      </c>
      <c r="K52" s="91">
        <f>Założenia!J269*K$45*K$43/1000*Założenia!$E52/100+Założenia!J281*K$47*K$43/1000*Założenia!$G52/100</f>
        <v>0</v>
      </c>
      <c r="L52" s="91">
        <f>Założenia!K269*L$45*L$43/1000*Założenia!$E52/100+Założenia!K281*L$47*L$43/1000*Założenia!$G52/100</f>
        <v>0</v>
      </c>
      <c r="M52" s="91">
        <f>Założenia!L269*M$45*M$43/1000*Założenia!$E52/100+Założenia!L281*M$47*M$43/1000*Założenia!$G52/100</f>
        <v>0</v>
      </c>
      <c r="N52" s="91">
        <f>Założenia!M269*N$45*N$43/1000*Założenia!$E52/100+Założenia!M281*N$47*N$43/1000*Założenia!$G52/100</f>
        <v>0</v>
      </c>
      <c r="O52" s="91">
        <f>Założenia!N269*O$45*O$43/1000*Założenia!$E52/100+Założenia!N281*O$47*O$43/1000*Założenia!$G52/100</f>
        <v>0</v>
      </c>
      <c r="P52" s="91">
        <f>Założenia!O269*P$45*P$43/1000*Założenia!$E52/100+Założenia!O281*P$47*P$43/1000*Założenia!$G52/100</f>
        <v>0</v>
      </c>
      <c r="Q52" s="91">
        <f>Założenia!P269*Q$45*Q$43/1000*Założenia!$E52/100+Założenia!P281*Q$47*Q$43/1000*Założenia!$G52/100</f>
        <v>0</v>
      </c>
      <c r="R52" s="91">
        <f>Założenia!Q269*R$45*R$43/1000*Założenia!$E52/100+Założenia!Q281*R$47*R$43/1000*Założenia!$G52/100</f>
        <v>0</v>
      </c>
      <c r="S52" s="91">
        <f>Założenia!R269*S$45*S$43/1000*Założenia!$E52/100+Założenia!R281*S$47*S$43/1000*Założenia!$G52/100</f>
        <v>0</v>
      </c>
      <c r="T52" s="91">
        <f>Założenia!S269*T$45*T$43/1000*Założenia!$E52/100+Założenia!S281*T$47*T$43/1000*Założenia!$G52/100</f>
        <v>0</v>
      </c>
    </row>
    <row r="53" spans="1:21" s="1" customFormat="1" ht="13.5">
      <c r="A53" s="82"/>
      <c r="B53" s="96" t="s">
        <v>363</v>
      </c>
      <c r="C53" s="175" t="s">
        <v>215</v>
      </c>
      <c r="D53" s="252"/>
      <c r="E53" s="91">
        <f>Założenia!D270*E$45*E$43/1000*Założenia!$E53/100+Założenia!D282*E$47*E$43/1000*Założenia!$G53/100</f>
        <v>0</v>
      </c>
      <c r="F53" s="91">
        <f>Założenia!E270*F$45*F$43/1000*Założenia!$E53/100+Założenia!E282*F$47*F$43/1000*Założenia!$G53/100</f>
        <v>0</v>
      </c>
      <c r="G53" s="91">
        <f>Założenia!F270*G$45*G$43/1000*Założenia!$E53/100+Założenia!F282*G$47*G$43/1000*Założenia!$G53/100</f>
        <v>0</v>
      </c>
      <c r="H53" s="91">
        <f>Założenia!G270*H$45*H$43/1000*Założenia!$E53/100+Założenia!G282*H$47*H$43/1000*Założenia!$G53/100</f>
        <v>0</v>
      </c>
      <c r="I53" s="91">
        <f>Założenia!H270*I$45*I$43/1000*Założenia!$E53/100+Założenia!H282*I$47*I$43/1000*Założenia!$G53/100</f>
        <v>0</v>
      </c>
      <c r="J53" s="91">
        <f>Założenia!I270*J$45*J$43/1000*Założenia!$E53/100+Założenia!I282*J$47*J$43/1000*Założenia!$G53/100</f>
        <v>0</v>
      </c>
      <c r="K53" s="91">
        <f>Założenia!J270*K$45*K$43/1000*Założenia!$E53/100+Założenia!J282*K$47*K$43/1000*Założenia!$G53/100</f>
        <v>0</v>
      </c>
      <c r="L53" s="91">
        <f>Założenia!K270*L$45*L$43/1000*Założenia!$E53/100+Założenia!K282*L$47*L$43/1000*Założenia!$G53/100</f>
        <v>0</v>
      </c>
      <c r="M53" s="91">
        <f>Założenia!L270*M$45*M$43/1000*Założenia!$E53/100+Założenia!L282*M$47*M$43/1000*Założenia!$G53/100</f>
        <v>0</v>
      </c>
      <c r="N53" s="91">
        <f>Założenia!M270*N$45*N$43/1000*Założenia!$E53/100+Założenia!M282*N$47*N$43/1000*Założenia!$G53/100</f>
        <v>0</v>
      </c>
      <c r="O53" s="91">
        <f>Założenia!N270*O$45*O$43/1000*Założenia!$E53/100+Założenia!N282*O$47*O$43/1000*Założenia!$G53/100</f>
        <v>0</v>
      </c>
      <c r="P53" s="91">
        <f>Założenia!O270*P$45*P$43/1000*Założenia!$E53/100+Założenia!O282*P$47*P$43/1000*Założenia!$G53/100</f>
        <v>0</v>
      </c>
      <c r="Q53" s="91">
        <f>Założenia!P270*Q$45*Q$43/1000*Założenia!$E53/100+Założenia!P282*Q$47*Q$43/1000*Założenia!$G53/100</f>
        <v>0</v>
      </c>
      <c r="R53" s="91">
        <f>Założenia!Q270*R$45*R$43/1000*Założenia!$E53/100+Założenia!Q282*R$47*R$43/1000*Założenia!$G53/100</f>
        <v>0</v>
      </c>
      <c r="S53" s="91">
        <f>Założenia!R270*S$45*S$43/1000*Założenia!$E53/100+Założenia!R282*S$47*S$43/1000*Założenia!$G53/100</f>
        <v>0</v>
      </c>
      <c r="T53" s="91">
        <f>Założenia!S270*T$45*T$43/1000*Założenia!$E53/100+Założenia!S282*T$47*T$43/1000*Założenia!$G53/100</f>
        <v>0</v>
      </c>
    </row>
    <row r="54" spans="1:21" s="1" customFormat="1" ht="13.5">
      <c r="A54" s="82"/>
      <c r="B54" s="96" t="s">
        <v>364</v>
      </c>
      <c r="C54" s="175" t="s">
        <v>215</v>
      </c>
      <c r="D54" s="252"/>
      <c r="E54" s="91">
        <f>Założenia!D271*E$45*E$43/1000*Założenia!$E54/100+Założenia!D283*E$47*E$43/1000*Założenia!$G54/100</f>
        <v>0</v>
      </c>
      <c r="F54" s="91">
        <f>Założenia!E271*F$45*F$43/1000*Założenia!$E54/100+Założenia!E283*F$47*F$43/1000*Założenia!$G54/100</f>
        <v>0</v>
      </c>
      <c r="G54" s="91">
        <f>Założenia!F271*G$45*G$43/1000*Założenia!$E54/100+Założenia!F283*G$47*G$43/1000*Założenia!$G54/100</f>
        <v>0</v>
      </c>
      <c r="H54" s="91">
        <f>Założenia!G271*H$45*H$43/1000*Założenia!$E54/100+Założenia!G283*H$47*H$43/1000*Założenia!$G54/100</f>
        <v>0</v>
      </c>
      <c r="I54" s="91">
        <f>Założenia!H271*I$45*I$43/1000*Założenia!$E54/100+Założenia!H283*I$47*I$43/1000*Założenia!$G54/100</f>
        <v>0</v>
      </c>
      <c r="J54" s="91">
        <f>Założenia!I271*J$45*J$43/1000*Założenia!$E54/100+Założenia!I283*J$47*J$43/1000*Założenia!$G54/100</f>
        <v>0</v>
      </c>
      <c r="K54" s="91">
        <f>Założenia!J271*K$45*K$43/1000*Założenia!$E54/100+Założenia!J283*K$47*K$43/1000*Założenia!$G54/100</f>
        <v>0</v>
      </c>
      <c r="L54" s="91">
        <f>Założenia!K271*L$45*L$43/1000*Założenia!$E54/100+Założenia!K283*L$47*L$43/1000*Założenia!$G54/100</f>
        <v>0</v>
      </c>
      <c r="M54" s="91">
        <f>Założenia!L271*M$45*M$43/1000*Założenia!$E54/100+Założenia!L283*M$47*M$43/1000*Założenia!$G54/100</f>
        <v>0</v>
      </c>
      <c r="N54" s="91">
        <f>Założenia!M271*N$45*N$43/1000*Założenia!$E54/100+Założenia!M283*N$47*N$43/1000*Założenia!$G54/100</f>
        <v>0</v>
      </c>
      <c r="O54" s="91">
        <f>Założenia!N271*O$45*O$43/1000*Założenia!$E54/100+Założenia!N283*O$47*O$43/1000*Założenia!$G54/100</f>
        <v>0</v>
      </c>
      <c r="P54" s="91">
        <f>Założenia!O271*P$45*P$43/1000*Założenia!$E54/100+Założenia!O283*P$47*P$43/1000*Założenia!$G54/100</f>
        <v>0</v>
      </c>
      <c r="Q54" s="91">
        <f>Założenia!P271*Q$45*Q$43/1000*Założenia!$E54/100+Założenia!P283*Q$47*Q$43/1000*Założenia!$G54/100</f>
        <v>0</v>
      </c>
      <c r="R54" s="91">
        <f>Założenia!Q271*R$45*R$43/1000*Założenia!$E54/100+Założenia!Q283*R$47*R$43/1000*Założenia!$G54/100</f>
        <v>0</v>
      </c>
      <c r="S54" s="91">
        <f>Założenia!R271*S$45*S$43/1000*Założenia!$E54/100+Założenia!R283*S$47*S$43/1000*Założenia!$G54/100</f>
        <v>0</v>
      </c>
      <c r="T54" s="91">
        <f>Założenia!S271*T$45*T$43/1000*Założenia!$E54/100+Założenia!S283*T$47*T$43/1000*Założenia!$G54/100</f>
        <v>0</v>
      </c>
    </row>
    <row r="55" spans="1:21" s="1" customFormat="1" ht="13.5">
      <c r="A55" s="82"/>
      <c r="B55" s="96" t="s">
        <v>365</v>
      </c>
      <c r="C55" s="175" t="s">
        <v>215</v>
      </c>
      <c r="D55" s="252"/>
      <c r="E55" s="91">
        <f>Założenia!D272*E$45*E$43/1000*Założenia!$E55/100+Założenia!D274*E$45*E$43/1000*Założenia!$E163/100+Założenia!D284*E$47*E$43/1000*Założenia!$G55/100</f>
        <v>52.800606447058826</v>
      </c>
      <c r="F55" s="91">
        <f>Założenia!E272*F$45*F$43/1000*Założenia!$E55/100+Założenia!E274*F$45*F$43/1000*Założenia!$E163/100+Założenia!E284*F$47*F$43/1000*Założenia!$G55/100</f>
        <v>52.098319147058817</v>
      </c>
      <c r="G55" s="91">
        <f>Założenia!F272*G$45*G$43/1000*Założenia!$E55/100+Założenia!F274*G$45*G$43/1000*Założenia!$E163/100+Założenia!F284*G$47*G$43/1000*Założenia!$G55/100</f>
        <v>52.098319147058817</v>
      </c>
      <c r="H55" s="91">
        <f>Założenia!G272*H$45*H$43/1000*Założenia!$E55/100+Założenia!G274*H$45*H$43/1000*Założenia!$E163/100+Założenia!G284*H$47*H$43/1000*Założenia!$G55/100</f>
        <v>52.2222522</v>
      </c>
      <c r="I55" s="91">
        <f>Założenia!H272*I$45*I$43/1000*Założenia!$E55/100+Założenia!H274*I$45*I$43/1000*Założenia!$E163/100+Założenia!H284*I$47*I$43/1000*Założenia!$G55/100</f>
        <v>52.2222522</v>
      </c>
      <c r="J55" s="91">
        <f>Założenia!I272*J$45*J$43/1000*Założenia!$E55/100+Założenia!I274*J$45*J$43/1000*Założenia!$E163/100+Założenia!I284*J$47*J$43/1000*Założenia!$G55/100</f>
        <v>52.2222522</v>
      </c>
      <c r="K55" s="91">
        <f>Założenia!J272*K$45*K$43/1000*Założenia!$E55/100+Założenia!J274*K$45*K$43/1000*Założenia!$E163/100+Założenia!J284*K$47*K$43/1000*Założenia!$G55/100</f>
        <v>0</v>
      </c>
      <c r="L55" s="91">
        <f>Założenia!K272*L$45*L$43/1000*Założenia!$E55/100+Założenia!K274*L$45*L$43/1000*Założenia!$E163/100+Założenia!K284*L$47*L$43/1000*Założenia!$G55/100</f>
        <v>0</v>
      </c>
      <c r="M55" s="91">
        <f>Założenia!L272*M$45*M$43/1000*Założenia!$E55/100+Założenia!L274*M$45*M$43/1000*Założenia!$E163/100+Założenia!L284*M$47*M$43/1000*Założenia!$G55/100</f>
        <v>0</v>
      </c>
      <c r="N55" s="91">
        <f>Założenia!M272*N$45*N$43/1000*Założenia!$E55/100+Założenia!M274*N$45*N$43/1000*Założenia!$E163/100+Założenia!M284*N$47*N$43/1000*Założenia!$G55/100</f>
        <v>0</v>
      </c>
      <c r="O55" s="91">
        <f>Założenia!N272*O$45*O$43/1000*Założenia!$E55/100+Założenia!N274*O$45*O$43/1000*Założenia!$E163/100+Założenia!N284*O$47*O$43/1000*Założenia!$G55/100</f>
        <v>0</v>
      </c>
      <c r="P55" s="91">
        <f>Założenia!O272*P$45*P$43/1000*Założenia!$E55/100+Założenia!O274*P$45*P$43/1000*Założenia!$E163/100+Założenia!O284*P$47*P$43/1000*Założenia!$G55/100</f>
        <v>0</v>
      </c>
      <c r="Q55" s="91">
        <f>Założenia!P272*Q$45*Q$43/1000*Założenia!$E55/100+Założenia!P274*Q$45*Q$43/1000*Założenia!$E163/100+Założenia!P284*Q$47*Q$43/1000*Założenia!$G55/100</f>
        <v>0</v>
      </c>
      <c r="R55" s="91">
        <f>Założenia!Q272*R$45*R$43/1000*Założenia!$E55/100+Założenia!Q274*R$45*R$43/1000*Założenia!$E163/100+Założenia!Q284*R$47*R$43/1000*Założenia!$G55/100</f>
        <v>0</v>
      </c>
      <c r="S55" s="91">
        <f>Założenia!R272*S$45*S$43/1000*Założenia!$E55/100+Założenia!R274*S$45*S$43/1000*Założenia!$E163/100+Założenia!R284*S$47*S$43/1000*Założenia!$G55/100</f>
        <v>0</v>
      </c>
      <c r="T55" s="91">
        <f>Założenia!S272*T$45*T$43/1000*Założenia!$E55/100+Założenia!S274*T$45*T$43/1000*Założenia!$E163/100+Założenia!S284*T$47*T$43/1000*Założenia!$G55/100</f>
        <v>0</v>
      </c>
    </row>
    <row r="56" spans="1:21" s="1" customFormat="1" ht="13.5">
      <c r="A56" s="82"/>
      <c r="B56" s="96" t="s">
        <v>367</v>
      </c>
      <c r="C56" s="175" t="s">
        <v>215</v>
      </c>
      <c r="D56" s="252"/>
      <c r="E56" s="91">
        <f>+Założenia!D273*E$45*E$43/1000*Założenia!$E56/100+Założenia!D275*E$45*E$43/1000*Założenia!$E163/100+Założenia!D285*E$47*E$43/1000*Założenia!$G56/100+Założenia!D286*E$47*E$43/1000*Założenia!$E164/100</f>
        <v>537.01781276470592</v>
      </c>
      <c r="F56" s="91">
        <f>+Założenia!E273*F$45*F$43/1000*Założenia!$E56/100+Założenia!E275*F$45*F$43/1000*Założenia!$E163/100+Założenia!E285*F$47*F$43/1000*Założenia!$G56/100+Założenia!E286*F$47*F$43/1000*Założenia!$E164/100</f>
        <v>531.85600110970586</v>
      </c>
      <c r="G56" s="91">
        <f>+Założenia!F273*G$45*G$43/1000*Założenia!$E56/100+Założenia!F275*G$45*G$43/1000*Założenia!$E163/100+Założenia!F285*G$47*G$43/1000*Założenia!$G56/100+Założenia!F286*G$47*G$43/1000*Założenia!$E164/100</f>
        <v>531.85600110970586</v>
      </c>
      <c r="H56" s="91">
        <f>+Założenia!G273*H$45*H$43/1000*Założenia!$E56/100+Założenia!G275*H$45*H$43/1000*Założenia!$E163/100+Założenia!G285*H$47*H$43/1000*Założenia!$G56/100+Założenia!G286*H$47*H$43/1000*Założenia!$E164/100</f>
        <v>531.13099275000002</v>
      </c>
      <c r="I56" s="91">
        <f>+Założenia!H273*I$45*I$43/1000*Założenia!$E56/100+Założenia!H275*I$45*I$43/1000*Założenia!$E163/100+Założenia!H285*I$47*I$43/1000*Założenia!$G56/100+Założenia!H286*I$47*I$43/1000*Założenia!$E164/100</f>
        <v>531.13099275000002</v>
      </c>
      <c r="J56" s="91">
        <f>+Założenia!I273*J$45*J$43/1000*Założenia!$E56/100+Założenia!I275*J$45*J$43/1000*Założenia!$E163/100+Założenia!I285*J$47*J$43/1000*Założenia!$G56/100+Założenia!I286*J$47*J$43/1000*Założenia!$E164/100</f>
        <v>531.13099275000002</v>
      </c>
      <c r="K56" s="91">
        <f>+Założenia!J273*K$45*K$43/1000*Założenia!$E56/100+Założenia!J275*K$45*K$43/1000*Założenia!$E163/100+Założenia!J285*K$47*K$43/1000*Założenia!$G56/100+Założenia!J286*K$47*K$43/1000*Założenia!$E164/100</f>
        <v>580.43789175789482</v>
      </c>
      <c r="L56" s="91">
        <f>+Założenia!K273*L$45*L$43/1000*Założenia!$E56/100+Założenia!K275*L$45*L$43/1000*Założenia!$E163/100+Założenia!K285*L$47*L$43/1000*Założenia!$G56/100+Założenia!K286*L$47*L$43/1000*Założenia!$E164/100</f>
        <v>580.43789175789482</v>
      </c>
      <c r="M56" s="91">
        <f>+Założenia!L273*M$45*M$43/1000*Założenia!$E56/100+Założenia!L275*M$45*M$43/1000*Założenia!$E163/100+Założenia!L285*M$47*M$43/1000*Założenia!$G56/100+Założenia!L286*M$47*M$43/1000*Założenia!$E164/100</f>
        <v>580.43789175789482</v>
      </c>
      <c r="N56" s="91">
        <f>+Założenia!M273*N$45*N$43/1000*Założenia!$E56/100+Założenia!M275*N$45*N$43/1000*Założenia!$E163/100+Założenia!M285*N$47*N$43/1000*Założenia!$G56/100+Założenia!M286*N$47*N$43/1000*Założenia!$E164/100</f>
        <v>580.43789175789482</v>
      </c>
      <c r="O56" s="91">
        <f>+Założenia!N273*O$45*O$43/1000*Założenia!$E56/100+Założenia!N275*O$45*O$43/1000*Założenia!$E163/100+Założenia!N285*O$47*O$43/1000*Założenia!$G56/100+Założenia!N286*O$47*O$43/1000*Założenia!$E164/100</f>
        <v>580.43789175789482</v>
      </c>
      <c r="P56" s="91">
        <f>+Założenia!O273*P$45*P$43/1000*Założenia!$E56/100+Założenia!O275*P$45*P$43/1000*Założenia!$E163/100+Założenia!O285*P$47*P$43/1000*Założenia!$G56/100+Założenia!O286*P$47*P$43/1000*Założenia!$E164/100</f>
        <v>580.43789175789482</v>
      </c>
      <c r="Q56" s="91">
        <f>+Założenia!P273*Q$45*Q$43/1000*Założenia!$E56/100+Założenia!P275*Q$45*Q$43/1000*Założenia!$E163/100+Założenia!P285*Q$47*Q$43/1000*Założenia!$G56/100+Założenia!P286*Q$47*Q$43/1000*Założenia!$E164/100</f>
        <v>580.43789175789482</v>
      </c>
      <c r="R56" s="91">
        <f>+Założenia!Q273*R$45*R$43/1000*Założenia!$E56/100+Założenia!Q275*R$45*R$43/1000*Założenia!$E163/100+Założenia!Q285*R$47*R$43/1000*Założenia!$G56/100+Założenia!Q286*R$47*R$43/1000*Założenia!$E164/100</f>
        <v>580.43789175789482</v>
      </c>
      <c r="S56" s="91">
        <f>+Założenia!R273*S$45*S$43/1000*Założenia!$E56/100+Założenia!R275*S$45*S$43/1000*Założenia!$E163/100+Założenia!R285*S$47*S$43/1000*Założenia!$G56/100+Założenia!R286*S$47*S$43/1000*Założenia!$E164/100</f>
        <v>580.43789175789482</v>
      </c>
      <c r="T56" s="91">
        <f>+Założenia!S273*T$45*T$43/1000*Założenia!$E56/100+Założenia!S275*T$45*T$43/1000*Założenia!$E163/100+Założenia!S285*T$47*T$43/1000*Założenia!$G56/100+Założenia!S286*T$47*T$43/1000*Założenia!$E164/100</f>
        <v>580.43789175789482</v>
      </c>
    </row>
    <row r="57" spans="1:21" s="1" customFormat="1" ht="13.5">
      <c r="A57" s="82"/>
      <c r="B57" s="94" t="s">
        <v>230</v>
      </c>
      <c r="C57" s="175" t="s">
        <v>215</v>
      </c>
      <c r="D57" s="252"/>
      <c r="E57" s="91">
        <f>E46*Założenia!D277*Założenia!$E$166*Założenia!$E$107*Założenia!E100/1000000+E48*Założenia!D287*Założenia!$E$167*Założenia!$E$107*Założenia!E100/1000000</f>
        <v>57.091569882352935</v>
      </c>
      <c r="F57" s="91">
        <f>F46*Założenia!E277*Założenia!$E$166*Założenia!$E$107*Założenia!F100/1000000+F48*Założenia!E287*Założenia!$E$167*Założenia!$E$107*Założenia!F100/1000000</f>
        <v>56.51488735828876</v>
      </c>
      <c r="G57" s="91">
        <f>G46*Założenia!F277*Założenia!$E$166*Założenia!$E$107*Założenia!G100/1000000+G48*Założenia!F287*Założenia!$E$167*Założenia!$E$107*Założenia!G100/1000000</f>
        <v>55.938204834224592</v>
      </c>
      <c r="H57" s="91">
        <f>H46*Założenia!G277*Założenia!$E$166*Założenia!$E$107*Założenia!H100/1000000+H48*Założenia!G287*Założenia!$E$167*Założenia!$E$107*Założenia!H100/1000000</f>
        <v>55.36152231016041</v>
      </c>
      <c r="I57" s="91">
        <f>I46*Założenia!H277*Założenia!$E$166*Założenia!$E$107*Założenia!I100/1000000+I48*Założenia!H287*Założenia!$E$167*Założenia!$E$107*Założenia!I100/1000000</f>
        <v>54.784839786096242</v>
      </c>
      <c r="J57" s="91">
        <f>J46*Założenia!I277*Założenia!$E$166*Założenia!$E$107*Założenia!J100/1000000+J48*Założenia!I287*Założenia!$E$167*Założenia!$E$107*Założenia!J100/1000000</f>
        <v>53.343133475935815</v>
      </c>
      <c r="K57" s="91">
        <f>K46*Założenia!J277*Założenia!$E$166*Założenia!$E$107*Założenia!K100/1000000+K48*Założenia!J287*Założenia!$E$167*Założenia!$E$107*Założenia!K100/1000000</f>
        <v>51.901427165775388</v>
      </c>
      <c r="L57" s="91">
        <f>L46*Założenia!K277*Założenia!$E$166*Założenia!$E$107*Założenia!L100/1000000+L48*Założenia!K287*Założenia!$E$167*Założenia!$E$107*Założenia!L100/1000000</f>
        <v>50.459720855614961</v>
      </c>
      <c r="M57" s="91">
        <f>M46*Założenia!L277*Założenia!$E$166*Założenia!$E$107*Założenia!M100/1000000+M48*Założenia!L287*Założenia!$E$167*Założenia!$E$107*Założenia!M100/1000000</f>
        <v>49.018014545454541</v>
      </c>
      <c r="N57" s="91">
        <f>N46*Założenia!M277*Założenia!$E$166*Założenia!$E$107*Założenia!N100/1000000+N48*Założenia!M287*Założenia!$E$167*Założenia!$E$107*Założenia!N100/1000000</f>
        <v>47.576308235294114</v>
      </c>
      <c r="O57" s="91">
        <f>O46*Założenia!N277*Założenia!$E$166*Założenia!$E$107*Założenia!O100/1000000+O48*Założenia!N287*Założenia!$E$167*Założenia!$E$107*Założenia!O100/1000000</f>
        <v>44.981236877005337</v>
      </c>
      <c r="P57" s="91">
        <f>P46*Założenia!O277*Założenia!$E$166*Założenia!$E$107*Założenia!P100/1000000+P48*Założenia!O287*Założenia!$E$167*Założenia!$E$107*Założenia!P100/1000000</f>
        <v>42.386165518716567</v>
      </c>
      <c r="Q57" s="91">
        <f>Q46*Założenia!P277*Założenia!$E$166*Założenia!$E$107*Założenia!Q100/1000000+Q48*Założenia!P287*Założenia!$E$167*Założenia!$E$107*Założenia!Q100/1000000</f>
        <v>39.791094160427804</v>
      </c>
      <c r="R57" s="91">
        <f>R46*Założenia!Q277*Założenia!$E$166*Założenia!$E$107*Założenia!R100/1000000+R48*Założenia!Q287*Założenia!$E$167*Założenia!$E$107*Założenia!R100/1000000</f>
        <v>37.196022802139026</v>
      </c>
      <c r="S57" s="91">
        <f>S46*Założenia!R277*Założenia!$E$166*Założenia!$E$107*Założenia!S100/1000000+S48*Założenia!R287*Założenia!$E$167*Założenia!$E$107*Założenia!S100/1000000</f>
        <v>34.600951443850263</v>
      </c>
      <c r="T57" s="91">
        <f>T46*Założenia!S277*Założenia!$E$166*Założenia!$E$107*Założenia!T100/1000000+T48*Założenia!S287*Założenia!$E$167*Założenia!$E$107*Założenia!T100/1000000</f>
        <v>31.357112245989299</v>
      </c>
    </row>
    <row r="58" spans="1:21" s="23" customFormat="1">
      <c r="A58" s="37" t="s">
        <v>34</v>
      </c>
      <c r="B58" s="133" t="s">
        <v>152</v>
      </c>
      <c r="C58" s="175" t="s">
        <v>0</v>
      </c>
      <c r="D58" s="175"/>
      <c r="E58" s="92">
        <f>((E60)*Założenia!E87+E67*Założenia!E87)+((E69)*Założenia!E90+E76*Założenia!E90)+((E78)*Założenia!E88+E85*Założenia!E88)</f>
        <v>102233.49015428929</v>
      </c>
      <c r="F58" s="92">
        <f>((F60)*Założenia!F87+F67*Założenia!F87)+((F69)*Założenia!F90+F76*Założenia!F90)+((F78)*Założenia!F88+F85*Założenia!F88)</f>
        <v>101737.56170562502</v>
      </c>
      <c r="G58" s="92">
        <f>((G60)*Założenia!G87+G67*Założenia!G87)+((G69)*Założenia!G90+G76*Założenia!G90)+((G78)*Założenia!G88+G85*Założenia!G88)</f>
        <v>103831.974362733</v>
      </c>
      <c r="H58" s="92">
        <f>((H60)*Założenia!H87+H67*Założenia!H87)+((H69)*Założenia!H90+H76*Założenia!H90)+((H78)*Założenia!H88+H85*Założenia!H88)</f>
        <v>106294.83658137689</v>
      </c>
      <c r="I58" s="92">
        <f>((I60)*Założenia!I87+I67*Założenia!I87)+((I69)*Założenia!I90+I76*Założenia!I90)+((I78)*Założenia!I88+I85*Założenia!I88)</f>
        <v>108986.71188638434</v>
      </c>
      <c r="J58" s="92">
        <f>((J60)*Założenia!J87+J67*Założenia!J87)+((J69)*Założenia!J90+J76*Założenia!J90)+((J78)*Założenia!J88+J85*Założenia!J88)</f>
        <v>111763.0581718193</v>
      </c>
      <c r="K58" s="92">
        <f>((K60)*Założenia!K87+K67*Założenia!K87)+((K69)*Założenia!K90+K76*Założenia!K90)+((K78)*Założenia!K88+K85*Założenia!K88)</f>
        <v>87738.666215748817</v>
      </c>
      <c r="L58" s="92">
        <f>((L60)*Założenia!L87+L67*Założenia!L87)+((L69)*Założenia!L90+L76*Założenia!L90)+((L78)*Założenia!L88+L85*Założenia!L88)</f>
        <v>89906.856668121138</v>
      </c>
      <c r="M58" s="92">
        <f>((M60)*Założenia!M87+M67*Założenia!M87)+((M69)*Założenia!M90+M76*Założenia!M90)+((M78)*Założenia!M88+M85*Założenia!M88)</f>
        <v>92069.123335944809</v>
      </c>
      <c r="N58" s="92">
        <f>((N60)*Założenia!N87+N67*Założenia!N87)+((N69)*Założenia!N90+N76*Założenia!N90)+((N78)*Założenia!N88+N85*Założenia!N88)</f>
        <v>94092.369379508265</v>
      </c>
      <c r="O58" s="92">
        <f>((O60)*Założenia!O87+O67*Założenia!O87)+((O69)*Założenia!O90+O76*Założenia!O90)+((O78)*Założenia!O88+O85*Założenia!O88)</f>
        <v>96097.730028193429</v>
      </c>
      <c r="P58" s="92">
        <f>((P60)*Założenia!P87+P67*Założenia!P87)+((P69)*Założenia!P90+P76*Założenia!P90)+((P78)*Założenia!P88+P85*Założenia!P88)</f>
        <v>98158.009785690447</v>
      </c>
      <c r="Q58" s="92">
        <f>((Q60)*Założenia!Q87+Q67*Założenia!Q87)+((Q69)*Założenia!Q90+Q76*Założenia!Q90)+((Q78)*Założenia!Q88+Q85*Założenia!Q88)</f>
        <v>100195.08751884494</v>
      </c>
      <c r="R58" s="92">
        <f>((R60)*Założenia!R87+R67*Założenia!R87)+((R69)*Założenia!R90+R76*Założenia!R90)+((R78)*Założenia!R88+R85*Założenia!R88)</f>
        <v>102204.06961627996</v>
      </c>
      <c r="S58" s="92">
        <f>((S60)*Założenia!S87+S67*Założenia!S87)+((S69)*Założenia!S90+S76*Założenia!S90)+((S78)*Założenia!S88+S85*Założenia!S88)</f>
        <v>104111.97598310605</v>
      </c>
      <c r="T58" s="92">
        <f>((T60)*Założenia!T87+T67*Założenia!T87)+((T69)*Założenia!T90+T76*Założenia!T90)+((T78)*Założenia!T88+T85*Założenia!T88)</f>
        <v>106191.71951115217</v>
      </c>
      <c r="U58" s="11"/>
    </row>
    <row r="59" spans="1:21" s="23" customFormat="1">
      <c r="A59" s="82" t="s">
        <v>48</v>
      </c>
      <c r="B59" s="96" t="s">
        <v>177</v>
      </c>
      <c r="C59" s="175" t="s">
        <v>216</v>
      </c>
      <c r="D59" s="175"/>
      <c r="E59" s="157">
        <f>E60+E67</f>
        <v>1.2741841621561498</v>
      </c>
      <c r="F59" s="157">
        <f t="shared" ref="F59:T59" si="13">F60+F67</f>
        <v>1.256852794300704</v>
      </c>
      <c r="G59" s="157">
        <f t="shared" si="13"/>
        <v>1.2524665729452582</v>
      </c>
      <c r="H59" s="157">
        <f t="shared" si="13"/>
        <v>1.2479231230898129</v>
      </c>
      <c r="I59" s="157">
        <f t="shared" si="13"/>
        <v>1.2469384258969793</v>
      </c>
      <c r="J59" s="157">
        <f t="shared" si="13"/>
        <v>1.245953728704146</v>
      </c>
      <c r="K59" s="157">
        <f t="shared" si="13"/>
        <v>0.92884311809025999</v>
      </c>
      <c r="L59" s="157">
        <f t="shared" si="13"/>
        <v>0.92785842089742665</v>
      </c>
      <c r="M59" s="157">
        <f t="shared" si="13"/>
        <v>0.9268737237045932</v>
      </c>
      <c r="N59" s="157">
        <f t="shared" si="13"/>
        <v>0.92387298857485356</v>
      </c>
      <c r="O59" s="157">
        <f t="shared" si="13"/>
        <v>0.92087225344511381</v>
      </c>
      <c r="P59" s="157">
        <f t="shared" si="13"/>
        <v>0.91787151831537417</v>
      </c>
      <c r="Q59" s="157">
        <f t="shared" si="13"/>
        <v>0.91487078318563442</v>
      </c>
      <c r="R59" s="157">
        <f t="shared" si="13"/>
        <v>0.91187004805589478</v>
      </c>
      <c r="S59" s="157">
        <f t="shared" si="13"/>
        <v>0.90825776414323744</v>
      </c>
      <c r="T59" s="157">
        <f t="shared" si="13"/>
        <v>0.90645162218690878</v>
      </c>
      <c r="U59" s="11"/>
    </row>
    <row r="60" spans="1:21" s="23" customFormat="1">
      <c r="A60" s="82"/>
      <c r="B60" s="133" t="s">
        <v>314</v>
      </c>
      <c r="C60" s="175" t="s">
        <v>216</v>
      </c>
      <c r="D60" s="175"/>
      <c r="E60" s="157">
        <f>SUM(E61:E66)</f>
        <v>1.1955535000000002</v>
      </c>
      <c r="F60" s="157">
        <f t="shared" ref="F60:T60" si="14">SUM(F61:F66)</f>
        <v>1.1826083534999998</v>
      </c>
      <c r="G60" s="157">
        <f t="shared" si="14"/>
        <v>1.1826083534999998</v>
      </c>
      <c r="H60" s="157">
        <f t="shared" si="14"/>
        <v>1.182451125</v>
      </c>
      <c r="I60" s="157">
        <f t="shared" si="14"/>
        <v>1.182451125</v>
      </c>
      <c r="J60" s="157">
        <f t="shared" si="14"/>
        <v>1.182451125</v>
      </c>
      <c r="K60" s="157">
        <f t="shared" si="14"/>
        <v>0.86632521157894748</v>
      </c>
      <c r="L60" s="157">
        <f t="shared" si="14"/>
        <v>0.86632521157894748</v>
      </c>
      <c r="M60" s="157">
        <f t="shared" si="14"/>
        <v>0.86632521157894748</v>
      </c>
      <c r="N60" s="157">
        <f t="shared" si="14"/>
        <v>0.86632521157894748</v>
      </c>
      <c r="O60" s="157">
        <f t="shared" si="14"/>
        <v>0.86632521157894748</v>
      </c>
      <c r="P60" s="157">
        <f t="shared" si="14"/>
        <v>0.86632521157894748</v>
      </c>
      <c r="Q60" s="157">
        <f t="shared" si="14"/>
        <v>0.86632521157894748</v>
      </c>
      <c r="R60" s="157">
        <f t="shared" si="14"/>
        <v>0.86632521157894748</v>
      </c>
      <c r="S60" s="157">
        <f t="shared" si="14"/>
        <v>0.86632521157894748</v>
      </c>
      <c r="T60" s="157">
        <f t="shared" si="14"/>
        <v>0.86632521157894748</v>
      </c>
      <c r="U60" s="11"/>
    </row>
    <row r="61" spans="1:21" s="23" customFormat="1">
      <c r="A61" s="82"/>
      <c r="B61" s="96" t="s">
        <v>361</v>
      </c>
      <c r="C61" s="175" t="s">
        <v>216</v>
      </c>
      <c r="D61" s="175"/>
      <c r="E61" s="141">
        <f>Założenia!D268*Założenia!D$297*Założenia!$F63/1000000+Założenia!D280*Założenia!D$301*Założenia!$F71/1000000</f>
        <v>0</v>
      </c>
      <c r="F61" s="141">
        <f>Założenia!E268*Założenia!E$297*Założenia!$F63/1000000+Założenia!E280*Założenia!E$301*Założenia!$F71/1000000</f>
        <v>0</v>
      </c>
      <c r="G61" s="141">
        <f>Założenia!F268*Założenia!F$297*Założenia!$F63/1000000+Założenia!F280*Założenia!F$301*Założenia!$F71/1000000</f>
        <v>0</v>
      </c>
      <c r="H61" s="141">
        <f>Założenia!G268*Założenia!G$297*Założenia!$F63/1000000+Założenia!G280*Założenia!G$301*Założenia!$F71/1000000</f>
        <v>0</v>
      </c>
      <c r="I61" s="141">
        <f>Założenia!H268*Założenia!H$297*Założenia!$F63/1000000+Założenia!H280*Założenia!H$301*Założenia!$F71/1000000</f>
        <v>0</v>
      </c>
      <c r="J61" s="141">
        <f>Założenia!I268*Założenia!I$297*Założenia!$F63/1000000+Założenia!I280*Założenia!I$301*Założenia!$F71/1000000</f>
        <v>0</v>
      </c>
      <c r="K61" s="141">
        <f>Założenia!J268*Założenia!J$297*Założenia!$F63/1000000+Założenia!J280*Założenia!J$301*Założenia!$F71/1000000</f>
        <v>0</v>
      </c>
      <c r="L61" s="141">
        <f>Założenia!K268*Założenia!K$297*Założenia!$F63/1000000+Założenia!K280*Założenia!K$301*Założenia!$F71/1000000</f>
        <v>0</v>
      </c>
      <c r="M61" s="141">
        <f>Założenia!L268*Założenia!L$297*Założenia!$F63/1000000+Założenia!L280*Założenia!L$301*Założenia!$F71/1000000</f>
        <v>0</v>
      </c>
      <c r="N61" s="141">
        <f>Założenia!M268*Założenia!M$297*Założenia!$F63/1000000+Założenia!M280*Założenia!M$301*Założenia!$F71/1000000</f>
        <v>0</v>
      </c>
      <c r="O61" s="141">
        <f>Założenia!N268*Założenia!N$297*Założenia!$F63/1000000+Założenia!N280*Założenia!N$301*Założenia!$F71/1000000</f>
        <v>0</v>
      </c>
      <c r="P61" s="141">
        <f>Założenia!O268*Założenia!O$297*Założenia!$F63/1000000+Założenia!O280*Założenia!O$301*Założenia!$F71/1000000</f>
        <v>0</v>
      </c>
      <c r="Q61" s="141">
        <f>Założenia!P268*Założenia!P$297*Założenia!$F63/1000000+Założenia!P280*Założenia!P$301*Założenia!$F71/1000000</f>
        <v>0</v>
      </c>
      <c r="R61" s="141">
        <f>Założenia!Q268*Założenia!Q$297*Założenia!$F63/1000000+Założenia!Q280*Założenia!Q$301*Założenia!$F71/1000000</f>
        <v>0</v>
      </c>
      <c r="S61" s="141">
        <f>Założenia!R268*Założenia!R$297*Założenia!$F63/1000000+Założenia!R280*Założenia!R$301*Założenia!$F71/1000000</f>
        <v>0</v>
      </c>
      <c r="T61" s="141">
        <f>Założenia!S268*Założenia!S$297*Założenia!$F63/1000000+Założenia!S280*Założenia!S$301*Założenia!$F71/1000000</f>
        <v>0</v>
      </c>
      <c r="U61" s="11"/>
    </row>
    <row r="62" spans="1:21" s="28" customFormat="1" ht="12">
      <c r="A62" s="82"/>
      <c r="B62" s="96" t="s">
        <v>362</v>
      </c>
      <c r="C62" s="175" t="s">
        <v>216</v>
      </c>
      <c r="D62" s="175"/>
      <c r="E62" s="141">
        <f>Założenia!D269*Założenia!D$297*Założenia!$F64/1000000+Założenia!D281*Założenia!D$301*Założenia!$F72/1000000</f>
        <v>0</v>
      </c>
      <c r="F62" s="141">
        <f>Założenia!E269*Założenia!E$297*Założenia!$F64/1000000+Założenia!E281*Założenia!E$301*Założenia!$F72/1000000</f>
        <v>0</v>
      </c>
      <c r="G62" s="141">
        <f>Założenia!F269*Założenia!F$297*Założenia!$F64/1000000+Założenia!F281*Założenia!F$301*Założenia!$F72/1000000</f>
        <v>0</v>
      </c>
      <c r="H62" s="141">
        <f>Założenia!G269*Założenia!G$297*Założenia!$F64/1000000+Założenia!G281*Założenia!G$301*Założenia!$F72/1000000</f>
        <v>0</v>
      </c>
      <c r="I62" s="141">
        <f>Założenia!H269*Założenia!H$297*Założenia!$F64/1000000+Założenia!H281*Założenia!H$301*Założenia!$F72/1000000</f>
        <v>0</v>
      </c>
      <c r="J62" s="141">
        <f>Założenia!I269*Założenia!I$297*Założenia!$F64/1000000+Założenia!I281*Założenia!I$301*Założenia!$F72/1000000</f>
        <v>0</v>
      </c>
      <c r="K62" s="141">
        <f>Założenia!J269*Założenia!J$297*Założenia!$F64/1000000+Założenia!J281*Założenia!J$301*Założenia!$F72/1000000</f>
        <v>0</v>
      </c>
      <c r="L62" s="141">
        <f>Założenia!K269*Założenia!K$297*Założenia!$F64/1000000+Założenia!K281*Założenia!K$301*Założenia!$F72/1000000</f>
        <v>0</v>
      </c>
      <c r="M62" s="141">
        <f>Założenia!L269*Założenia!L$297*Założenia!$F64/1000000+Założenia!L281*Założenia!L$301*Założenia!$F72/1000000</f>
        <v>0</v>
      </c>
      <c r="N62" s="141">
        <f>Założenia!M269*Założenia!M$297*Założenia!$F64/1000000+Założenia!M281*Założenia!M$301*Założenia!$F72/1000000</f>
        <v>0</v>
      </c>
      <c r="O62" s="141">
        <f>Założenia!N269*Założenia!N$297*Założenia!$F64/1000000+Założenia!N281*Założenia!N$301*Założenia!$F72/1000000</f>
        <v>0</v>
      </c>
      <c r="P62" s="141">
        <f>Założenia!O269*Założenia!O$297*Założenia!$F64/1000000+Założenia!O281*Założenia!O$301*Założenia!$F72/1000000</f>
        <v>0</v>
      </c>
      <c r="Q62" s="141">
        <f>Założenia!P269*Założenia!P$297*Założenia!$F64/1000000+Założenia!P281*Założenia!P$301*Założenia!$F72/1000000</f>
        <v>0</v>
      </c>
      <c r="R62" s="141">
        <f>Założenia!Q269*Założenia!Q$297*Założenia!$F64/1000000+Założenia!Q281*Założenia!Q$301*Założenia!$F72/1000000</f>
        <v>0</v>
      </c>
      <c r="S62" s="141">
        <f>Założenia!R269*Założenia!R$297*Założenia!$F64/1000000+Założenia!R281*Założenia!R$301*Założenia!$F72/1000000</f>
        <v>0</v>
      </c>
      <c r="T62" s="141">
        <f>Założenia!S269*Założenia!S$297*Założenia!$F64/1000000+Założenia!S281*Założenia!S$301*Założenia!$F72/1000000</f>
        <v>0</v>
      </c>
      <c r="U62" s="11"/>
    </row>
    <row r="63" spans="1:21" s="28" customFormat="1" ht="12">
      <c r="A63" s="82"/>
      <c r="B63" s="96" t="s">
        <v>363</v>
      </c>
      <c r="C63" s="175" t="s">
        <v>216</v>
      </c>
      <c r="D63" s="175"/>
      <c r="E63" s="141">
        <f>Założenia!D270*Założenia!D$297*Założenia!$F65/1000000+Założenia!D282*Założenia!D$301*Założenia!$F73/1000000</f>
        <v>0</v>
      </c>
      <c r="F63" s="141">
        <f>Założenia!E270*Założenia!E$297*Założenia!$F65/1000000+Założenia!E282*Założenia!E$301*Założenia!$F73/1000000</f>
        <v>0</v>
      </c>
      <c r="G63" s="141">
        <f>Założenia!F270*Założenia!F$297*Założenia!$F65/1000000+Założenia!F282*Założenia!F$301*Założenia!$F73/1000000</f>
        <v>0</v>
      </c>
      <c r="H63" s="141">
        <f>Założenia!G270*Założenia!G$297*Założenia!$F65/1000000+Założenia!G282*Założenia!G$301*Założenia!$F73/1000000</f>
        <v>0</v>
      </c>
      <c r="I63" s="141">
        <f>Założenia!H270*Założenia!H$297*Założenia!$F65/1000000+Założenia!H282*Założenia!H$301*Założenia!$F73/1000000</f>
        <v>0</v>
      </c>
      <c r="J63" s="141">
        <f>Założenia!I270*Założenia!I$297*Założenia!$F65/1000000+Założenia!I282*Założenia!I$301*Założenia!$F73/1000000</f>
        <v>0</v>
      </c>
      <c r="K63" s="141">
        <f>Założenia!J270*Założenia!J$297*Założenia!$F65/1000000+Założenia!J282*Założenia!J$301*Założenia!$F73/1000000</f>
        <v>0</v>
      </c>
      <c r="L63" s="141">
        <f>Założenia!K270*Założenia!K$297*Założenia!$F65/1000000+Założenia!K282*Założenia!K$301*Założenia!$F73/1000000</f>
        <v>0</v>
      </c>
      <c r="M63" s="141">
        <f>Założenia!L270*Założenia!L$297*Założenia!$F65/1000000+Założenia!L282*Założenia!L$301*Założenia!$F73/1000000</f>
        <v>0</v>
      </c>
      <c r="N63" s="141">
        <f>Założenia!M270*Założenia!M$297*Założenia!$F65/1000000+Założenia!M282*Założenia!M$301*Założenia!$F73/1000000</f>
        <v>0</v>
      </c>
      <c r="O63" s="141">
        <f>Założenia!N270*Założenia!N$297*Założenia!$F65/1000000+Założenia!N282*Założenia!N$301*Założenia!$F73/1000000</f>
        <v>0</v>
      </c>
      <c r="P63" s="141">
        <f>Założenia!O270*Założenia!O$297*Założenia!$F65/1000000+Założenia!O282*Założenia!O$301*Założenia!$F73/1000000</f>
        <v>0</v>
      </c>
      <c r="Q63" s="141">
        <f>Założenia!P270*Założenia!P$297*Założenia!$F65/1000000+Założenia!P282*Założenia!P$301*Założenia!$F73/1000000</f>
        <v>0</v>
      </c>
      <c r="R63" s="141">
        <f>Założenia!Q270*Założenia!Q$297*Założenia!$F65/1000000+Założenia!Q282*Założenia!Q$301*Założenia!$F73/1000000</f>
        <v>0</v>
      </c>
      <c r="S63" s="141">
        <f>Założenia!R270*Założenia!R$297*Założenia!$F65/1000000+Założenia!R282*Założenia!R$301*Założenia!$F73/1000000</f>
        <v>0</v>
      </c>
      <c r="T63" s="141">
        <f>Założenia!S270*Założenia!S$297*Założenia!$F65/1000000+Założenia!S282*Założenia!S$301*Założenia!$F73/1000000</f>
        <v>0</v>
      </c>
      <c r="U63" s="11"/>
    </row>
    <row r="64" spans="1:21" s="28" customFormat="1" ht="12">
      <c r="A64" s="82"/>
      <c r="B64" s="96" t="s">
        <v>364</v>
      </c>
      <c r="C64" s="175" t="s">
        <v>216</v>
      </c>
      <c r="D64" s="175"/>
      <c r="E64" s="141">
        <f>Założenia!D271*Założenia!D$297*Założenia!$F66/1000000+Założenia!D283*Założenia!D$301*Założenia!$F74/1000000</f>
        <v>0</v>
      </c>
      <c r="F64" s="141">
        <f>Założenia!E271*Założenia!E$297*Założenia!$F66/1000000+Założenia!E283*Założenia!E$301*Założenia!$F74/1000000</f>
        <v>0</v>
      </c>
      <c r="G64" s="141">
        <f>Założenia!F271*Założenia!F$297*Założenia!$F66/1000000+Założenia!F283*Założenia!F$301*Założenia!$F74/1000000</f>
        <v>0</v>
      </c>
      <c r="H64" s="141">
        <f>Założenia!G271*Założenia!G$297*Założenia!$F66/1000000+Założenia!G283*Założenia!G$301*Założenia!$F74/1000000</f>
        <v>0</v>
      </c>
      <c r="I64" s="141">
        <f>Założenia!H271*Założenia!H$297*Założenia!$F66/1000000+Założenia!H283*Założenia!H$301*Założenia!$F74/1000000</f>
        <v>0</v>
      </c>
      <c r="J64" s="141">
        <f>Założenia!I271*Założenia!I$297*Założenia!$F66/1000000+Założenia!I283*Założenia!I$301*Założenia!$F74/1000000</f>
        <v>0</v>
      </c>
      <c r="K64" s="141">
        <f>Założenia!J271*Założenia!J$297*Założenia!$F66/1000000+Założenia!J283*Założenia!J$301*Założenia!$F74/1000000</f>
        <v>0</v>
      </c>
      <c r="L64" s="141">
        <f>Założenia!K271*Założenia!K$297*Założenia!$F66/1000000+Założenia!K283*Założenia!K$301*Założenia!$F74/1000000</f>
        <v>0</v>
      </c>
      <c r="M64" s="141">
        <f>Założenia!L271*Założenia!L$297*Założenia!$F66/1000000+Założenia!L283*Założenia!L$301*Założenia!$F74/1000000</f>
        <v>0</v>
      </c>
      <c r="N64" s="141">
        <f>Założenia!M271*Założenia!M$297*Założenia!$F66/1000000+Założenia!M283*Założenia!M$301*Założenia!$F74/1000000</f>
        <v>0</v>
      </c>
      <c r="O64" s="141">
        <f>Założenia!N271*Założenia!N$297*Założenia!$F66/1000000+Założenia!N283*Założenia!N$301*Założenia!$F74/1000000</f>
        <v>0</v>
      </c>
      <c r="P64" s="141">
        <f>Założenia!O271*Założenia!O$297*Założenia!$F66/1000000+Założenia!O283*Założenia!O$301*Założenia!$F74/1000000</f>
        <v>0</v>
      </c>
      <c r="Q64" s="141">
        <f>Założenia!P271*Założenia!P$297*Założenia!$F66/1000000+Założenia!P283*Założenia!P$301*Założenia!$F74/1000000</f>
        <v>0</v>
      </c>
      <c r="R64" s="141">
        <f>Założenia!Q271*Założenia!Q$297*Założenia!$F66/1000000+Założenia!Q283*Założenia!Q$301*Założenia!$F74/1000000</f>
        <v>0</v>
      </c>
      <c r="S64" s="141">
        <f>Założenia!R271*Założenia!R$297*Założenia!$F66/1000000+Założenia!R283*Założenia!R$301*Założenia!$F74/1000000</f>
        <v>0</v>
      </c>
      <c r="T64" s="141">
        <f>Założenia!S271*Założenia!S$297*Założenia!$F66/1000000+Założenia!S283*Założenia!S$301*Założenia!$F74/1000000</f>
        <v>0</v>
      </c>
      <c r="U64" s="11"/>
    </row>
    <row r="65" spans="1:21" s="28" customFormat="1" ht="12">
      <c r="A65" s="82"/>
      <c r="B65" s="96" t="s">
        <v>365</v>
      </c>
      <c r="C65" s="175" t="s">
        <v>216</v>
      </c>
      <c r="D65" s="175"/>
      <c r="E65" s="141">
        <f>Założenia!D272*Założenia!D$297*Założenia!$F67/1000000+Założenia!D274*Założenia!D$297*Założenia!$I67/1000000+Założenia!D284*Założenia!D$301*Założenia!$F75/1000000</f>
        <v>0.3940343764705882</v>
      </c>
      <c r="F65" s="141">
        <f>Założenia!E272*Założenia!E$297*Założenia!$F67/1000000+Założenia!E274*Założenia!E$297*Założenia!$I67/1000000+Założenia!E284*Założenia!E$301*Założenia!$F75/1000000</f>
        <v>0.38879342647058818</v>
      </c>
      <c r="G65" s="141">
        <f>Założenia!F272*Założenia!F$297*Założenia!$F67/1000000+Założenia!F274*Założenia!F$297*Założenia!$I67/1000000+Założenia!F284*Założenia!F$301*Założenia!$F75/1000000</f>
        <v>0.38879342647058818</v>
      </c>
      <c r="H65" s="141">
        <f>Założenia!G272*Założenia!G$297*Założenia!$F67/1000000+Założenia!G274*Założenia!G$297*Założenia!$I67/1000000+Założenia!G284*Założenia!G$301*Założenia!$F75/1000000</f>
        <v>0.38971829999999996</v>
      </c>
      <c r="I65" s="141">
        <f>Założenia!H272*Założenia!H$297*Założenia!$F67/1000000+Założenia!H274*Założenia!H$297*Założenia!$I67/1000000+Założenia!H284*Założenia!H$301*Założenia!$F75/1000000</f>
        <v>0.38971829999999996</v>
      </c>
      <c r="J65" s="141">
        <f>Założenia!I272*Założenia!I$297*Założenia!$F67/1000000+Założenia!I274*Założenia!I$297*Założenia!$I67/1000000+Założenia!I284*Założenia!I$301*Założenia!$F75/1000000</f>
        <v>0.38971829999999996</v>
      </c>
      <c r="K65" s="141">
        <f>Założenia!J272*Założenia!J$297*Założenia!$F67/1000000+Założenia!J274*Założenia!J$297*Założenia!$I67/1000000+Założenia!J284*Założenia!J$301*Założenia!$F75/1000000</f>
        <v>0</v>
      </c>
      <c r="L65" s="141">
        <f>Założenia!K272*Założenia!K$297*Założenia!$F67/1000000+Założenia!K274*Założenia!K$297*Założenia!$I67/1000000+Założenia!K284*Założenia!K$301*Założenia!$F75/1000000</f>
        <v>0</v>
      </c>
      <c r="M65" s="141">
        <f>Założenia!L272*Założenia!L$297*Założenia!$F67/1000000+Założenia!L274*Założenia!L$297*Założenia!$I67/1000000+Założenia!L284*Założenia!L$301*Założenia!$F75/1000000</f>
        <v>0</v>
      </c>
      <c r="N65" s="141">
        <f>Założenia!M272*Założenia!M$297*Założenia!$F67/1000000+Założenia!M274*Założenia!M$297*Założenia!$I67/1000000+Założenia!M284*Założenia!M$301*Założenia!$F75/1000000</f>
        <v>0</v>
      </c>
      <c r="O65" s="141">
        <f>Założenia!N272*Założenia!N$297*Założenia!$F67/1000000+Założenia!N274*Założenia!N$297*Założenia!$I67/1000000+Założenia!N284*Założenia!N$301*Założenia!$F75/1000000</f>
        <v>0</v>
      </c>
      <c r="P65" s="141">
        <f>Założenia!O272*Założenia!O$297*Założenia!$F67/1000000+Założenia!O274*Założenia!O$297*Założenia!$I67/1000000+Założenia!O284*Założenia!O$301*Założenia!$F75/1000000</f>
        <v>0</v>
      </c>
      <c r="Q65" s="141">
        <f>Założenia!P272*Założenia!P$297*Założenia!$F67/1000000+Założenia!P274*Założenia!P$297*Założenia!$I67/1000000+Założenia!P284*Założenia!P$301*Założenia!$F75/1000000</f>
        <v>0</v>
      </c>
      <c r="R65" s="141">
        <f>Założenia!Q272*Założenia!Q$297*Założenia!$F67/1000000+Założenia!Q274*Założenia!Q$297*Założenia!$I67/1000000+Założenia!Q284*Założenia!Q$301*Założenia!$F75/1000000</f>
        <v>0</v>
      </c>
      <c r="S65" s="141">
        <f>Założenia!R272*Założenia!R$297*Założenia!$F67/1000000+Założenia!R274*Założenia!R$297*Założenia!$I67/1000000+Założenia!R284*Założenia!R$301*Założenia!$F75/1000000</f>
        <v>0</v>
      </c>
      <c r="T65" s="141">
        <f>Założenia!S272*Założenia!S$297*Założenia!$F67/1000000+Założenia!S274*Założenia!S$297*Założenia!$I67/1000000+Założenia!S284*Założenia!S$301*Założenia!$F75/1000000</f>
        <v>0</v>
      </c>
      <c r="U65" s="11"/>
    </row>
    <row r="66" spans="1:21" s="28" customFormat="1" ht="12">
      <c r="A66" s="82"/>
      <c r="B66" s="96" t="s">
        <v>367</v>
      </c>
      <c r="C66" s="175" t="s">
        <v>216</v>
      </c>
      <c r="D66" s="175"/>
      <c r="E66" s="141">
        <f>Założenia!D273*Założenia!D$297*Założenia!$F68/1000000+Założenia!D275*Założenia!D$297*Założenia!$I68/1000000+Założenia!D285*Założenia!D$301*Założenia!$F76/1000000+Założenia!D286*Założenia!D$301*Założenia!$I76/1000000</f>
        <v>0.8015191235294119</v>
      </c>
      <c r="F66" s="141">
        <f>Założenia!E273*Założenia!E$297*Założenia!$F68/1000000+Założenia!E275*Założenia!E$297*Założenia!$I68/1000000+Założenia!E285*Założenia!E$301*Założenia!$F76/1000000+Założenia!E286*Założenia!E$301*Założenia!$I76/1000000</f>
        <v>0.7938149270294117</v>
      </c>
      <c r="G66" s="141">
        <f>Założenia!F273*Założenia!F$297*Założenia!$F68/1000000+Założenia!F275*Założenia!F$297*Założenia!$I68/1000000+Założenia!F285*Założenia!F$301*Założenia!$F76/1000000+Założenia!F286*Założenia!F$301*Założenia!$I76/1000000</f>
        <v>0.7938149270294117</v>
      </c>
      <c r="H66" s="141">
        <f>Założenia!G273*Założenia!G$297*Założenia!$F68/1000000+Założenia!G275*Założenia!G$297*Założenia!$I68/1000000+Założenia!G285*Założenia!G$301*Założenia!$F76/1000000+Założenia!G286*Założenia!G$301*Założenia!$I76/1000000</f>
        <v>0.79273282500000009</v>
      </c>
      <c r="I66" s="141">
        <f>Założenia!H273*Założenia!H$297*Założenia!$F68/1000000+Założenia!H275*Założenia!H$297*Założenia!$I68/1000000+Założenia!H285*Założenia!H$301*Założenia!$F76/1000000+Założenia!H286*Założenia!H$301*Założenia!$I76/1000000</f>
        <v>0.79273282500000009</v>
      </c>
      <c r="J66" s="141">
        <f>Założenia!I273*Założenia!I$297*Założenia!$F68/1000000+Założenia!I275*Założenia!I$297*Założenia!$I68/1000000+Założenia!I285*Założenia!I$301*Założenia!$F76/1000000+Założenia!I286*Założenia!I$301*Założenia!$I76/1000000</f>
        <v>0.79273282500000009</v>
      </c>
      <c r="K66" s="141">
        <f>Założenia!J273*Założenia!J$297*Założenia!$F68/1000000+Założenia!J275*Założenia!J$297*Założenia!$I68/1000000+Założenia!J285*Założenia!J$301*Założenia!$F76/1000000+Założenia!J286*Założenia!J$301*Założenia!$I76/1000000</f>
        <v>0.86632521157894748</v>
      </c>
      <c r="L66" s="141">
        <f>Założenia!K273*Założenia!K$297*Założenia!$F68/1000000+Założenia!K275*Założenia!K$297*Założenia!$I68/1000000+Założenia!K285*Założenia!K$301*Założenia!$F76/1000000+Założenia!K286*Założenia!K$301*Założenia!$I76/1000000</f>
        <v>0.86632521157894748</v>
      </c>
      <c r="M66" s="141">
        <f>Założenia!L273*Założenia!L$297*Założenia!$F68/1000000+Założenia!L275*Założenia!L$297*Założenia!$I68/1000000+Założenia!L285*Założenia!L$301*Założenia!$F76/1000000+Założenia!L286*Założenia!L$301*Założenia!$I76/1000000</f>
        <v>0.86632521157894748</v>
      </c>
      <c r="N66" s="141">
        <f>Założenia!M273*Założenia!M$297*Założenia!$F68/1000000+Założenia!M275*Założenia!M$297*Założenia!$I68/1000000+Założenia!M285*Założenia!M$301*Założenia!$F76/1000000+Założenia!M286*Założenia!M$301*Założenia!$I76/1000000</f>
        <v>0.86632521157894748</v>
      </c>
      <c r="O66" s="141">
        <f>Założenia!N273*Założenia!N$297*Założenia!$F68/1000000+Założenia!N275*Założenia!N$297*Założenia!$I68/1000000+Założenia!N285*Założenia!N$301*Założenia!$F76/1000000+Założenia!N286*Założenia!N$301*Założenia!$I76/1000000</f>
        <v>0.86632521157894748</v>
      </c>
      <c r="P66" s="141">
        <f>Założenia!O273*Założenia!O$297*Założenia!$F68/1000000+Założenia!O275*Założenia!O$297*Założenia!$I68/1000000+Założenia!O285*Założenia!O$301*Założenia!$F76/1000000+Założenia!O286*Założenia!O$301*Założenia!$I76/1000000</f>
        <v>0.86632521157894748</v>
      </c>
      <c r="Q66" s="141">
        <f>Założenia!P273*Założenia!P$297*Założenia!$F68/1000000+Założenia!P275*Założenia!P$297*Założenia!$I68/1000000+Założenia!P285*Założenia!P$301*Założenia!$F76/1000000+Założenia!P286*Założenia!P$301*Założenia!$I76/1000000</f>
        <v>0.86632521157894748</v>
      </c>
      <c r="R66" s="141">
        <f>Założenia!Q273*Założenia!Q$297*Założenia!$F68/1000000+Założenia!Q275*Założenia!Q$297*Założenia!$I68/1000000+Założenia!Q285*Założenia!Q$301*Założenia!$F76/1000000+Założenia!Q286*Założenia!Q$301*Założenia!$I76/1000000</f>
        <v>0.86632521157894748</v>
      </c>
      <c r="S66" s="141">
        <f>Założenia!R273*Założenia!R$297*Założenia!$F68/1000000+Założenia!R275*Założenia!R$297*Założenia!$I68/1000000+Założenia!R285*Założenia!R$301*Założenia!$F76/1000000+Założenia!R286*Założenia!R$301*Założenia!$I76/1000000</f>
        <v>0.86632521157894748</v>
      </c>
      <c r="T66" s="141">
        <f>Założenia!S273*Założenia!S$297*Założenia!$F68/1000000+Założenia!S275*Założenia!S$297*Założenia!$I68/1000000+Założenia!S285*Założenia!S$301*Założenia!$F76/1000000+Założenia!S286*Założenia!S$301*Założenia!$I76/1000000</f>
        <v>0.86632521157894748</v>
      </c>
      <c r="U66" s="11"/>
    </row>
    <row r="67" spans="1:21" s="1" customFormat="1" ht="12">
      <c r="A67" s="82"/>
      <c r="B67" s="94" t="s">
        <v>230</v>
      </c>
      <c r="C67" s="175" t="s">
        <v>216</v>
      </c>
      <c r="D67" s="252"/>
      <c r="E67" s="157">
        <f>Założenia!D277*Założenia!D$299*Założenia!$E$166*Założenia!$E$107*Założenia!E83/1000000+Założenia!D287*Założenia!D$302*Założenia!$E$167*Założenia!$E$107*Założenia!E83/1000000</f>
        <v>7.8630662156149722E-2</v>
      </c>
      <c r="F67" s="157">
        <f>Założenia!E277*Założenia!E$299*Założenia!$E$166*Założenia!$E$107*Założenia!F83/1000000+Założenia!E287*Założenia!E$302*Założenia!$E$167*Założenia!$E$107*Założenia!F83/1000000</f>
        <v>7.4244440800704067E-2</v>
      </c>
      <c r="G67" s="157">
        <f>Założenia!F277*Założenia!F$299*Założenia!$E$166*Założenia!$E$107*Założenia!G83/1000000+Założenia!F287*Założenia!F$302*Założenia!$E$167*Założenia!$E$107*Założenia!G83/1000000</f>
        <v>6.9858219445258427E-2</v>
      </c>
      <c r="H67" s="157">
        <f>Założenia!G277*Założenia!G$299*Założenia!$E$166*Założenia!$E$107*Założenia!H83/1000000+Założenia!G287*Założenia!G$302*Założenia!$E$167*Założenia!$E$107*Założenia!H83/1000000</f>
        <v>6.5471998089812772E-2</v>
      </c>
      <c r="I67" s="157">
        <f>Założenia!H277*Założenia!H$299*Założenia!$E$166*Założenia!$E$107*Założenia!I83/1000000+Założenia!H287*Założenia!H$302*Założenia!$E$167*Założenia!$E$107*Założenia!I83/1000000</f>
        <v>6.4487300896979363E-2</v>
      </c>
      <c r="J67" s="157">
        <f>Założenia!I277*Założenia!I$299*Założenia!$E$166*Założenia!$E$107*Założenia!J83/1000000+Założenia!I287*Założenia!I$302*Założenia!$E$167*Założenia!$E$107*Założenia!J83/1000000</f>
        <v>6.3502603704145955E-2</v>
      </c>
      <c r="K67" s="157">
        <f>Założenia!J277*Założenia!J$299*Założenia!$E$166*Założenia!$E$107*Założenia!K83/1000000+Założenia!J287*Założenia!J$302*Założenia!$E$167*Założenia!$E$107*Założenia!K83/1000000</f>
        <v>6.2517906511312546E-2</v>
      </c>
      <c r="L67" s="157">
        <f>Założenia!K277*Założenia!K$299*Założenia!$E$166*Założenia!$E$107*Założenia!L83/1000000+Założenia!K287*Założenia!K$302*Założenia!$E$167*Założenia!$E$107*Założenia!L83/1000000</f>
        <v>6.1533209318479137E-2</v>
      </c>
      <c r="M67" s="157">
        <f>Założenia!L277*Założenia!L$299*Założenia!$E$166*Założenia!$E$107*Założenia!M83/1000000+Założenia!L287*Założenia!L$302*Założenia!$E$167*Założenia!$E$107*Założenia!M83/1000000</f>
        <v>6.0548512125645743E-2</v>
      </c>
      <c r="N67" s="157">
        <f>Założenia!M277*Założenia!M$299*Założenia!$E$166*Założenia!$E$107*Założenia!N83/1000000+Założenia!M287*Założenia!M$302*Założenia!$E$167*Założenia!$E$107*Założenia!N83/1000000</f>
        <v>5.754777699590604E-2</v>
      </c>
      <c r="O67" s="157">
        <f>Założenia!N277*Założenia!N$299*Założenia!$E$166*Założenia!$E$107*Założenia!O83/1000000+Założenia!N287*Założenia!N$302*Założenia!$E$167*Założenia!$E$107*Założenia!O83/1000000</f>
        <v>5.4547041866166344E-2</v>
      </c>
      <c r="P67" s="157">
        <f>Założenia!O277*Założenia!O$299*Założenia!$E$166*Założenia!$E$107*Założenia!P83/1000000+Założenia!O287*Założenia!O$302*Założenia!$E$167*Założenia!$E$107*Założenia!P83/1000000</f>
        <v>5.1546306736426649E-2</v>
      </c>
      <c r="Q67" s="157">
        <f>Założenia!P277*Założenia!P$299*Założenia!$E$166*Założenia!$E$107*Założenia!Q83/1000000+Założenia!P287*Założenia!P$302*Założenia!$E$167*Założenia!$E$107*Założenia!Q83/1000000</f>
        <v>4.8545571606686953E-2</v>
      </c>
      <c r="R67" s="157">
        <f>Założenia!Q277*Założenia!Q$299*Założenia!$E$166*Założenia!$E$107*Założenia!R83/1000000+Założenia!Q287*Założenia!Q$302*Założenia!$E$167*Założenia!$E$107*Założenia!R83/1000000</f>
        <v>4.5544836476947244E-2</v>
      </c>
      <c r="S67" s="157">
        <f>Założenia!R277*Założenia!R$299*Założenia!$E$166*Założenia!$E$107*Założenia!S83/1000000+Założenia!R287*Założenia!R$302*Założenia!$E$167*Założenia!$E$107*Założenia!S83/1000000</f>
        <v>4.193255256428996E-2</v>
      </c>
      <c r="T67" s="157">
        <f>Założenia!S277*Założenia!S$299*Założenia!$E$166*Założenia!$E$107*Założenia!T83/1000000+Założenia!S287*Założenia!S$302*Założenia!$E$167*Założenia!$E$107*Założenia!T83/1000000</f>
        <v>4.0126410607961328E-2</v>
      </c>
    </row>
    <row r="68" spans="1:21" s="23" customFormat="1">
      <c r="A68" s="82" t="s">
        <v>49</v>
      </c>
      <c r="B68" s="96" t="s">
        <v>178</v>
      </c>
      <c r="C68" s="175" t="s">
        <v>217</v>
      </c>
      <c r="D68" s="175"/>
      <c r="E68" s="157">
        <f>E69+E76</f>
        <v>2.613223108032086E-2</v>
      </c>
      <c r="F68" s="157">
        <f t="shared" ref="F68:T68" si="15">F69+F76</f>
        <v>2.5767075438371152E-2</v>
      </c>
      <c r="G68" s="157">
        <f t="shared" si="15"/>
        <v>2.5646934208921453E-2</v>
      </c>
      <c r="H68" s="157">
        <f t="shared" si="15"/>
        <v>2.5508989164030577E-2</v>
      </c>
      <c r="I68" s="157">
        <f t="shared" si="15"/>
        <v>2.5482227165614234E-2</v>
      </c>
      <c r="J68" s="157">
        <f t="shared" si="15"/>
        <v>2.5455465167197894E-2</v>
      </c>
      <c r="K68" s="157">
        <f t="shared" si="15"/>
        <v>2.3371329833255242E-2</v>
      </c>
      <c r="L68" s="157">
        <f t="shared" si="15"/>
        <v>2.3344567834838899E-2</v>
      </c>
      <c r="M68" s="157">
        <f t="shared" si="15"/>
        <v>2.331780583642256E-2</v>
      </c>
      <c r="N68" s="157">
        <f t="shared" si="15"/>
        <v>2.32353616154948E-2</v>
      </c>
      <c r="O68" s="157">
        <f t="shared" si="15"/>
        <v>2.3152917394567041E-2</v>
      </c>
      <c r="P68" s="157">
        <f t="shared" si="15"/>
        <v>2.3070473173639281E-2</v>
      </c>
      <c r="Q68" s="157">
        <f t="shared" si="15"/>
        <v>2.2988028952711521E-2</v>
      </c>
      <c r="R68" s="157">
        <f t="shared" si="15"/>
        <v>2.2905584731783765E-2</v>
      </c>
      <c r="S68" s="157">
        <f t="shared" si="15"/>
        <v>2.2807385463401223E-2</v>
      </c>
      <c r="T68" s="157">
        <f t="shared" si="15"/>
        <v>2.2758285829209954E-2</v>
      </c>
      <c r="U68" s="11"/>
    </row>
    <row r="69" spans="1:21" s="23" customFormat="1">
      <c r="A69" s="82"/>
      <c r="B69" s="133" t="s">
        <v>314</v>
      </c>
      <c r="C69" s="175" t="s">
        <v>217</v>
      </c>
      <c r="D69" s="175"/>
      <c r="E69" s="157">
        <f>SUM(E70:E75)</f>
        <v>2.397832185294118E-2</v>
      </c>
      <c r="F69" s="157">
        <f t="shared" ref="F69:T69" si="16">SUM(F70:F75)</f>
        <v>2.3733307440441175E-2</v>
      </c>
      <c r="G69" s="157">
        <f t="shared" si="16"/>
        <v>2.3733307440441175E-2</v>
      </c>
      <c r="H69" s="157">
        <f t="shared" si="16"/>
        <v>2.3715503625000002E-2</v>
      </c>
      <c r="I69" s="157">
        <f t="shared" si="16"/>
        <v>2.3715503625000002E-2</v>
      </c>
      <c r="J69" s="157">
        <f t="shared" si="16"/>
        <v>2.3715503625000002E-2</v>
      </c>
      <c r="K69" s="157">
        <f t="shared" si="16"/>
        <v>2.1658130289473689E-2</v>
      </c>
      <c r="L69" s="157">
        <f t="shared" si="16"/>
        <v>2.1658130289473689E-2</v>
      </c>
      <c r="M69" s="157">
        <f t="shared" si="16"/>
        <v>2.1658130289473689E-2</v>
      </c>
      <c r="N69" s="157">
        <f t="shared" si="16"/>
        <v>2.1658130289473689E-2</v>
      </c>
      <c r="O69" s="157">
        <f t="shared" si="16"/>
        <v>2.1658130289473689E-2</v>
      </c>
      <c r="P69" s="157">
        <f t="shared" si="16"/>
        <v>2.1658130289473689E-2</v>
      </c>
      <c r="Q69" s="157">
        <f t="shared" si="16"/>
        <v>2.1658130289473689E-2</v>
      </c>
      <c r="R69" s="157">
        <f t="shared" si="16"/>
        <v>2.1658130289473689E-2</v>
      </c>
      <c r="S69" s="157">
        <f t="shared" si="16"/>
        <v>2.1658130289473689E-2</v>
      </c>
      <c r="T69" s="157">
        <f t="shared" si="16"/>
        <v>2.1658130289473689E-2</v>
      </c>
      <c r="U69" s="11"/>
    </row>
    <row r="70" spans="1:21" s="23" customFormat="1">
      <c r="A70" s="82"/>
      <c r="B70" s="96" t="s">
        <v>361</v>
      </c>
      <c r="C70" s="175" t="s">
        <v>217</v>
      </c>
      <c r="D70" s="175"/>
      <c r="E70" s="141">
        <f>Założenia!D268*Założenia!D$297*Założenia!$G63/1000000+Założenia!D280*Założenia!D$301*Założenia!$G71/1000000</f>
        <v>0</v>
      </c>
      <c r="F70" s="141">
        <f>Założenia!E268*Założenia!E$297*Założenia!$G63/1000000+Założenia!E280*Założenia!E$301*Założenia!$G71/1000000</f>
        <v>0</v>
      </c>
      <c r="G70" s="141">
        <f>Założenia!F268*Założenia!F$297*Założenia!$G63/1000000+Założenia!F280*Założenia!F$301*Założenia!$G71/1000000</f>
        <v>0</v>
      </c>
      <c r="H70" s="141">
        <f>Założenia!G268*Założenia!G$297*Założenia!$G63/1000000+Założenia!G280*Założenia!G$301*Założenia!$G71/1000000</f>
        <v>0</v>
      </c>
      <c r="I70" s="141">
        <f>Założenia!H268*Założenia!H$297*Założenia!$G63/1000000+Założenia!H280*Założenia!H$301*Założenia!$G71/1000000</f>
        <v>0</v>
      </c>
      <c r="J70" s="141">
        <f>Założenia!I268*Założenia!I$297*Założenia!$G63/1000000+Założenia!I280*Założenia!I$301*Założenia!$G71/1000000</f>
        <v>0</v>
      </c>
      <c r="K70" s="141">
        <f>Założenia!J268*Założenia!J$297*Założenia!$G63/1000000+Założenia!J280*Założenia!J$301*Założenia!$G71/1000000</f>
        <v>0</v>
      </c>
      <c r="L70" s="141">
        <f>Założenia!K268*Założenia!K$297*Założenia!$G63/1000000+Założenia!K280*Założenia!K$301*Założenia!$G71/1000000</f>
        <v>0</v>
      </c>
      <c r="M70" s="141">
        <f>Założenia!L268*Założenia!L$297*Założenia!$G63/1000000+Założenia!L280*Założenia!L$301*Założenia!$G71/1000000</f>
        <v>0</v>
      </c>
      <c r="N70" s="141">
        <f>Założenia!M268*Założenia!M$297*Założenia!$G63/1000000+Założenia!M280*Założenia!M$301*Założenia!$G71/1000000</f>
        <v>0</v>
      </c>
      <c r="O70" s="141">
        <f>Założenia!N268*Założenia!N$297*Założenia!$G63/1000000+Założenia!N280*Założenia!N$301*Założenia!$G71/1000000</f>
        <v>0</v>
      </c>
      <c r="P70" s="141">
        <f>Założenia!O268*Założenia!O$297*Założenia!$G63/1000000+Założenia!O280*Założenia!O$301*Założenia!$G71/1000000</f>
        <v>0</v>
      </c>
      <c r="Q70" s="141">
        <f>Założenia!P268*Założenia!P$297*Założenia!$G63/1000000+Założenia!P280*Założenia!P$301*Założenia!$G71/1000000</f>
        <v>0</v>
      </c>
      <c r="R70" s="141">
        <f>Założenia!Q268*Założenia!Q$297*Założenia!$G63/1000000+Założenia!Q280*Założenia!Q$301*Założenia!$G71/1000000</f>
        <v>0</v>
      </c>
      <c r="S70" s="141">
        <f>Założenia!R268*Założenia!R$297*Założenia!$G63/1000000+Założenia!R280*Założenia!R$301*Założenia!$G71/1000000</f>
        <v>0</v>
      </c>
      <c r="T70" s="141">
        <f>Założenia!S268*Założenia!S$297*Założenia!$G63/1000000+Założenia!S280*Założenia!S$301*Założenia!$G71/1000000</f>
        <v>0</v>
      </c>
      <c r="U70" s="11"/>
    </row>
    <row r="71" spans="1:21" s="28" customFormat="1" ht="12">
      <c r="A71" s="82"/>
      <c r="B71" s="96" t="s">
        <v>362</v>
      </c>
      <c r="C71" s="175" t="s">
        <v>217</v>
      </c>
      <c r="D71" s="175"/>
      <c r="E71" s="141">
        <f>Założenia!D269*Założenia!D$297*Założenia!$G64/1000000+Założenia!D281*Założenia!D$301*Założenia!$G72/1000000</f>
        <v>0</v>
      </c>
      <c r="F71" s="141">
        <f>Założenia!E269*Założenia!E$297*Założenia!$G64/1000000+Założenia!E281*Założenia!E$301*Założenia!$G72/1000000</f>
        <v>0</v>
      </c>
      <c r="G71" s="141">
        <f>Założenia!F269*Założenia!F$297*Założenia!$G64/1000000+Założenia!F281*Założenia!F$301*Założenia!$G72/1000000</f>
        <v>0</v>
      </c>
      <c r="H71" s="141">
        <f>Założenia!G269*Założenia!G$297*Założenia!$G64/1000000+Założenia!G281*Założenia!G$301*Założenia!$G72/1000000</f>
        <v>0</v>
      </c>
      <c r="I71" s="141">
        <f>Założenia!H269*Założenia!H$297*Założenia!$G64/1000000+Założenia!H281*Założenia!H$301*Założenia!$G72/1000000</f>
        <v>0</v>
      </c>
      <c r="J71" s="141">
        <f>Założenia!I269*Założenia!I$297*Założenia!$G64/1000000+Założenia!I281*Założenia!I$301*Założenia!$G72/1000000</f>
        <v>0</v>
      </c>
      <c r="K71" s="141">
        <f>Założenia!J269*Założenia!J$297*Założenia!$G64/1000000+Założenia!J281*Założenia!J$301*Założenia!$G72/1000000</f>
        <v>0</v>
      </c>
      <c r="L71" s="141">
        <f>Założenia!K269*Założenia!K$297*Założenia!$G64/1000000+Założenia!K281*Założenia!K$301*Założenia!$G72/1000000</f>
        <v>0</v>
      </c>
      <c r="M71" s="141">
        <f>Założenia!L269*Założenia!L$297*Założenia!$G64/1000000+Założenia!L281*Założenia!L$301*Założenia!$G72/1000000</f>
        <v>0</v>
      </c>
      <c r="N71" s="141">
        <f>Założenia!M269*Założenia!M$297*Założenia!$G64/1000000+Założenia!M281*Założenia!M$301*Założenia!$G72/1000000</f>
        <v>0</v>
      </c>
      <c r="O71" s="141">
        <f>Założenia!N269*Założenia!N$297*Założenia!$G64/1000000+Założenia!N281*Założenia!N$301*Założenia!$G72/1000000</f>
        <v>0</v>
      </c>
      <c r="P71" s="141">
        <f>Założenia!O269*Założenia!O$297*Założenia!$G64/1000000+Założenia!O281*Założenia!O$301*Założenia!$G72/1000000</f>
        <v>0</v>
      </c>
      <c r="Q71" s="141">
        <f>Założenia!P269*Założenia!P$297*Założenia!$G64/1000000+Założenia!P281*Założenia!P$301*Założenia!$G72/1000000</f>
        <v>0</v>
      </c>
      <c r="R71" s="141">
        <f>Założenia!Q269*Założenia!Q$297*Założenia!$G64/1000000+Założenia!Q281*Założenia!Q$301*Założenia!$G72/1000000</f>
        <v>0</v>
      </c>
      <c r="S71" s="141">
        <f>Założenia!R269*Założenia!R$297*Założenia!$G64/1000000+Założenia!R281*Założenia!R$301*Założenia!$G72/1000000</f>
        <v>0</v>
      </c>
      <c r="T71" s="141">
        <f>Założenia!S269*Założenia!S$297*Założenia!$G64/1000000+Założenia!S281*Założenia!S$301*Założenia!$G72/1000000</f>
        <v>0</v>
      </c>
      <c r="U71" s="11"/>
    </row>
    <row r="72" spans="1:21" s="28" customFormat="1" ht="12">
      <c r="A72" s="82"/>
      <c r="B72" s="96" t="s">
        <v>363</v>
      </c>
      <c r="C72" s="175" t="s">
        <v>217</v>
      </c>
      <c r="D72" s="175"/>
      <c r="E72" s="141">
        <f>Założenia!D270*Założenia!D$297*Założenia!$G65/1000000+Założenia!D282*Założenia!D$301*Założenia!$G73/1000000</f>
        <v>0</v>
      </c>
      <c r="F72" s="141">
        <f>Założenia!E270*Założenia!E$297*Założenia!$G65/1000000+Założenia!E282*Założenia!E$301*Założenia!$G73/1000000</f>
        <v>0</v>
      </c>
      <c r="G72" s="141">
        <f>Założenia!F270*Założenia!F$297*Założenia!$G65/1000000+Założenia!F282*Założenia!F$301*Założenia!$G73/1000000</f>
        <v>0</v>
      </c>
      <c r="H72" s="141">
        <f>Założenia!G270*Założenia!G$297*Założenia!$G65/1000000+Założenia!G282*Założenia!G$301*Założenia!$G73/1000000</f>
        <v>0</v>
      </c>
      <c r="I72" s="141">
        <f>Założenia!H270*Założenia!H$297*Założenia!$G65/1000000+Założenia!H282*Założenia!H$301*Założenia!$G73/1000000</f>
        <v>0</v>
      </c>
      <c r="J72" s="141">
        <f>Założenia!I270*Założenia!I$297*Założenia!$G65/1000000+Założenia!I282*Założenia!I$301*Założenia!$G73/1000000</f>
        <v>0</v>
      </c>
      <c r="K72" s="141">
        <f>Założenia!J270*Założenia!J$297*Założenia!$G65/1000000+Założenia!J282*Założenia!J$301*Założenia!$G73/1000000</f>
        <v>0</v>
      </c>
      <c r="L72" s="141">
        <f>Założenia!K270*Założenia!K$297*Założenia!$G65/1000000+Założenia!K282*Założenia!K$301*Założenia!$G73/1000000</f>
        <v>0</v>
      </c>
      <c r="M72" s="141">
        <f>Założenia!L270*Założenia!L$297*Założenia!$G65/1000000+Założenia!L282*Założenia!L$301*Założenia!$G73/1000000</f>
        <v>0</v>
      </c>
      <c r="N72" s="141">
        <f>Założenia!M270*Założenia!M$297*Założenia!$G65/1000000+Założenia!M282*Założenia!M$301*Założenia!$G73/1000000</f>
        <v>0</v>
      </c>
      <c r="O72" s="141">
        <f>Założenia!N270*Założenia!N$297*Założenia!$G65/1000000+Założenia!N282*Założenia!N$301*Założenia!$G73/1000000</f>
        <v>0</v>
      </c>
      <c r="P72" s="141">
        <f>Założenia!O270*Założenia!O$297*Założenia!$G65/1000000+Założenia!O282*Założenia!O$301*Założenia!$G73/1000000</f>
        <v>0</v>
      </c>
      <c r="Q72" s="141">
        <f>Założenia!P270*Założenia!P$297*Założenia!$G65/1000000+Założenia!P282*Założenia!P$301*Założenia!$G73/1000000</f>
        <v>0</v>
      </c>
      <c r="R72" s="141">
        <f>Założenia!Q270*Założenia!Q$297*Założenia!$G65/1000000+Założenia!Q282*Założenia!Q$301*Założenia!$G73/1000000</f>
        <v>0</v>
      </c>
      <c r="S72" s="141">
        <f>Założenia!R270*Założenia!R$297*Założenia!$G65/1000000+Założenia!R282*Założenia!R$301*Założenia!$G73/1000000</f>
        <v>0</v>
      </c>
      <c r="T72" s="141">
        <f>Założenia!S270*Założenia!S$297*Założenia!$G65/1000000+Założenia!S282*Założenia!S$301*Założenia!$G73/1000000</f>
        <v>0</v>
      </c>
      <c r="U72" s="11"/>
    </row>
    <row r="73" spans="1:21" s="28" customFormat="1" ht="12">
      <c r="A73" s="82"/>
      <c r="B73" s="96" t="s">
        <v>364</v>
      </c>
      <c r="C73" s="175" t="s">
        <v>217</v>
      </c>
      <c r="D73" s="175"/>
      <c r="E73" s="141">
        <f>Założenia!D271*Założenia!D$297*Założenia!$G66/1000000+Założenia!D283*Założenia!D$301*Założenia!$G74/1000000</f>
        <v>0</v>
      </c>
      <c r="F73" s="141">
        <f>Założenia!E271*Założenia!E$297*Założenia!$G66/1000000+Założenia!E283*Założenia!E$301*Założenia!$G74/1000000</f>
        <v>0</v>
      </c>
      <c r="G73" s="141">
        <f>Założenia!F271*Założenia!F$297*Założenia!$G66/1000000+Założenia!F283*Założenia!F$301*Założenia!$G74/1000000</f>
        <v>0</v>
      </c>
      <c r="H73" s="141">
        <f>Założenia!G271*Założenia!G$297*Założenia!$G66/1000000+Założenia!G283*Założenia!G$301*Założenia!$G74/1000000</f>
        <v>0</v>
      </c>
      <c r="I73" s="141">
        <f>Założenia!H271*Założenia!H$297*Założenia!$G66/1000000+Założenia!H283*Założenia!H$301*Założenia!$G74/1000000</f>
        <v>0</v>
      </c>
      <c r="J73" s="141">
        <f>Założenia!I271*Założenia!I$297*Założenia!$G66/1000000+Założenia!I283*Założenia!I$301*Założenia!$G74/1000000</f>
        <v>0</v>
      </c>
      <c r="K73" s="141">
        <f>Założenia!J271*Założenia!J$297*Założenia!$G66/1000000+Założenia!J283*Założenia!J$301*Założenia!$G74/1000000</f>
        <v>0</v>
      </c>
      <c r="L73" s="141">
        <f>Założenia!K271*Założenia!K$297*Założenia!$G66/1000000+Założenia!K283*Założenia!K$301*Założenia!$G74/1000000</f>
        <v>0</v>
      </c>
      <c r="M73" s="141">
        <f>Założenia!L271*Założenia!L$297*Założenia!$G66/1000000+Założenia!L283*Założenia!L$301*Założenia!$G74/1000000</f>
        <v>0</v>
      </c>
      <c r="N73" s="141">
        <f>Założenia!M271*Założenia!M$297*Założenia!$G66/1000000+Założenia!M283*Założenia!M$301*Założenia!$G74/1000000</f>
        <v>0</v>
      </c>
      <c r="O73" s="141">
        <f>Założenia!N271*Założenia!N$297*Założenia!$G66/1000000+Założenia!N283*Założenia!N$301*Założenia!$G74/1000000</f>
        <v>0</v>
      </c>
      <c r="P73" s="141">
        <f>Założenia!O271*Założenia!O$297*Założenia!$G66/1000000+Założenia!O283*Założenia!O$301*Założenia!$G74/1000000</f>
        <v>0</v>
      </c>
      <c r="Q73" s="141">
        <f>Założenia!P271*Założenia!P$297*Założenia!$G66/1000000+Założenia!P283*Założenia!P$301*Założenia!$G74/1000000</f>
        <v>0</v>
      </c>
      <c r="R73" s="141">
        <f>Założenia!Q271*Założenia!Q$297*Założenia!$G66/1000000+Założenia!Q283*Założenia!Q$301*Założenia!$G74/1000000</f>
        <v>0</v>
      </c>
      <c r="S73" s="141">
        <f>Założenia!R271*Założenia!R$297*Założenia!$G66/1000000+Założenia!R283*Założenia!R$301*Założenia!$G74/1000000</f>
        <v>0</v>
      </c>
      <c r="T73" s="141">
        <f>Założenia!S271*Założenia!S$297*Założenia!$G66/1000000+Założenia!S283*Założenia!S$301*Założenia!$G74/1000000</f>
        <v>0</v>
      </c>
      <c r="U73" s="11"/>
    </row>
    <row r="74" spans="1:21" s="28" customFormat="1" ht="12">
      <c r="A74" s="82"/>
      <c r="B74" s="96" t="s">
        <v>365</v>
      </c>
      <c r="C74" s="175" t="s">
        <v>217</v>
      </c>
      <c r="D74" s="175"/>
      <c r="E74" s="141">
        <f>Założenia!D272*Założenia!D$297*Założenia!$G67/1000000+Założenia!D274*Założenia!D$297*Założenia!$J67/1000000+Założenia!D284*Założenia!D$301*Założenia!$G75/1000000</f>
        <v>3.9403437647058826E-3</v>
      </c>
      <c r="F74" s="141">
        <f>Założenia!E272*Założenia!E$297*Założenia!$G67/1000000+Założenia!E274*Założenia!E$297*Założenia!$J67/1000000+Założenia!E284*Założenia!E$301*Założenia!$G75/1000000</f>
        <v>3.8879342647058822E-3</v>
      </c>
      <c r="G74" s="141">
        <f>Założenia!F272*Założenia!F$297*Założenia!$G67/1000000+Założenia!F274*Założenia!F$297*Założenia!$J67/1000000+Założenia!F284*Założenia!F$301*Założenia!$G75/1000000</f>
        <v>3.8879342647058822E-3</v>
      </c>
      <c r="H74" s="141">
        <f>Założenia!G272*Założenia!G$297*Założenia!$G67/1000000+Założenia!G274*Założenia!G$297*Założenia!$J67/1000000+Założenia!G284*Założenia!G$301*Założenia!$G75/1000000</f>
        <v>3.8971829999999998E-3</v>
      </c>
      <c r="I74" s="141">
        <f>Założenia!H272*Założenia!H$297*Założenia!$G67/1000000+Założenia!H274*Założenia!H$297*Założenia!$J67/1000000+Założenia!H284*Założenia!H$301*Założenia!$G75/1000000</f>
        <v>3.8971829999999998E-3</v>
      </c>
      <c r="J74" s="141">
        <f>Założenia!I272*Założenia!I$297*Założenia!$G67/1000000+Założenia!I274*Założenia!I$297*Założenia!$J67/1000000+Założenia!I284*Założenia!I$301*Założenia!$G75/1000000</f>
        <v>3.8971829999999998E-3</v>
      </c>
      <c r="K74" s="141">
        <f>Założenia!J272*Założenia!J$297*Założenia!$G67/1000000+Założenia!J274*Założenia!J$297*Założenia!$J67/1000000+Założenia!J284*Założenia!J$301*Założenia!$G75/1000000</f>
        <v>0</v>
      </c>
      <c r="L74" s="141">
        <f>Założenia!K272*Założenia!K$297*Założenia!$G67/1000000+Założenia!K274*Założenia!K$297*Założenia!$J67/1000000+Założenia!K284*Założenia!K$301*Założenia!$G75/1000000</f>
        <v>0</v>
      </c>
      <c r="M74" s="141">
        <f>Założenia!L272*Założenia!L$297*Założenia!$G67/1000000+Założenia!L274*Założenia!L$297*Założenia!$J67/1000000+Założenia!L284*Założenia!L$301*Założenia!$G75/1000000</f>
        <v>0</v>
      </c>
      <c r="N74" s="141">
        <f>Założenia!M272*Założenia!M$297*Założenia!$G67/1000000+Założenia!M274*Założenia!M$297*Założenia!$J67/1000000+Założenia!M284*Założenia!M$301*Założenia!$G75/1000000</f>
        <v>0</v>
      </c>
      <c r="O74" s="141">
        <f>Założenia!N272*Założenia!N$297*Założenia!$G67/1000000+Założenia!N274*Założenia!N$297*Założenia!$J67/1000000+Założenia!N284*Założenia!N$301*Założenia!$G75/1000000</f>
        <v>0</v>
      </c>
      <c r="P74" s="141">
        <f>Założenia!O272*Założenia!O$297*Założenia!$G67/1000000+Założenia!O274*Założenia!O$297*Założenia!$J67/1000000+Założenia!O284*Założenia!O$301*Założenia!$G75/1000000</f>
        <v>0</v>
      </c>
      <c r="Q74" s="141">
        <f>Założenia!P272*Założenia!P$297*Założenia!$G67/1000000+Założenia!P274*Założenia!P$297*Założenia!$J67/1000000+Założenia!P284*Założenia!P$301*Założenia!$G75/1000000</f>
        <v>0</v>
      </c>
      <c r="R74" s="141">
        <f>Założenia!Q272*Założenia!Q$297*Założenia!$G67/1000000+Założenia!Q274*Założenia!Q$297*Założenia!$J67/1000000+Założenia!Q284*Założenia!Q$301*Założenia!$G75/1000000</f>
        <v>0</v>
      </c>
      <c r="S74" s="141">
        <f>Założenia!R272*Założenia!R$297*Założenia!$G67/1000000+Założenia!R274*Założenia!R$297*Założenia!$J67/1000000+Założenia!R284*Założenia!R$301*Założenia!$G75/1000000</f>
        <v>0</v>
      </c>
      <c r="T74" s="141">
        <f>Założenia!S272*Założenia!S$297*Założenia!$G67/1000000+Założenia!S274*Założenia!S$297*Założenia!$J67/1000000+Założenia!S284*Założenia!S$301*Założenia!$G75/1000000</f>
        <v>0</v>
      </c>
      <c r="U74" s="11"/>
    </row>
    <row r="75" spans="1:21" s="28" customFormat="1" ht="12">
      <c r="A75" s="82"/>
      <c r="B75" s="96" t="s">
        <v>367</v>
      </c>
      <c r="C75" s="175" t="s">
        <v>217</v>
      </c>
      <c r="D75" s="175"/>
      <c r="E75" s="141">
        <f>Założenia!D273*Założenia!D$297*Założenia!$G68/1000000+Założenia!D275*Założenia!D$297*Założenia!$J68/1000000+Założenia!D285*Założenia!D$301*Założenia!$G76/1000000+Założenia!D286*Założenia!D$301*Założenia!$J76/1000000</f>
        <v>2.0037978088235295E-2</v>
      </c>
      <c r="F75" s="141">
        <f>Założenia!E273*Założenia!E$297*Założenia!$G68/1000000+Założenia!E275*Założenia!E$297*Założenia!$J68/1000000+Założenia!E285*Założenia!E$301*Założenia!$G76/1000000+Założenia!E286*Założenia!E$301*Założenia!$J76/1000000</f>
        <v>1.9845373175735294E-2</v>
      </c>
      <c r="G75" s="141">
        <f>Założenia!F273*Założenia!F$297*Założenia!$G68/1000000+Założenia!F275*Założenia!F$297*Założenia!$J68/1000000+Założenia!F285*Założenia!F$301*Założenia!$G76/1000000+Założenia!F286*Założenia!F$301*Założenia!$J76/1000000</f>
        <v>1.9845373175735294E-2</v>
      </c>
      <c r="H75" s="141">
        <f>Założenia!G273*Założenia!G$297*Założenia!$G68/1000000+Założenia!G275*Założenia!G$297*Założenia!$J68/1000000+Założenia!G285*Założenia!G$301*Założenia!$G76/1000000+Założenia!G286*Założenia!G$301*Założenia!$J76/1000000</f>
        <v>1.9818320625000004E-2</v>
      </c>
      <c r="I75" s="141">
        <f>Założenia!H273*Założenia!H$297*Założenia!$G68/1000000+Założenia!H275*Założenia!H$297*Założenia!$J68/1000000+Założenia!H285*Założenia!H$301*Założenia!$G76/1000000+Założenia!H286*Założenia!H$301*Założenia!$J76/1000000</f>
        <v>1.9818320625000004E-2</v>
      </c>
      <c r="J75" s="141">
        <f>Założenia!I273*Założenia!I$297*Założenia!$G68/1000000+Założenia!I275*Założenia!I$297*Założenia!$J68/1000000+Założenia!I285*Założenia!I$301*Założenia!$G76/1000000+Założenia!I286*Założenia!I$301*Założenia!$J76/1000000</f>
        <v>1.9818320625000004E-2</v>
      </c>
      <c r="K75" s="141">
        <f>Założenia!J273*Założenia!J$297*Założenia!$G68/1000000+Założenia!J275*Założenia!J$297*Założenia!$J68/1000000+Założenia!J285*Założenia!J$301*Założenia!$G76/1000000+Założenia!J286*Założenia!J$301*Założenia!$J76/1000000</f>
        <v>2.1658130289473689E-2</v>
      </c>
      <c r="L75" s="141">
        <f>Założenia!K273*Założenia!K$297*Założenia!$G68/1000000+Założenia!K275*Założenia!K$297*Założenia!$J68/1000000+Założenia!K285*Założenia!K$301*Założenia!$G76/1000000+Założenia!K286*Założenia!K$301*Założenia!$J76/1000000</f>
        <v>2.1658130289473689E-2</v>
      </c>
      <c r="M75" s="141">
        <f>Założenia!L273*Założenia!L$297*Założenia!$G68/1000000+Założenia!L275*Założenia!L$297*Założenia!$J68/1000000+Założenia!L285*Założenia!L$301*Założenia!$G76/1000000+Założenia!L286*Założenia!L$301*Założenia!$J76/1000000</f>
        <v>2.1658130289473689E-2</v>
      </c>
      <c r="N75" s="141">
        <f>Założenia!M273*Założenia!M$297*Założenia!$G68/1000000+Założenia!M275*Założenia!M$297*Założenia!$J68/1000000+Założenia!M285*Założenia!M$301*Założenia!$G76/1000000+Założenia!M286*Założenia!M$301*Założenia!$J76/1000000</f>
        <v>2.1658130289473689E-2</v>
      </c>
      <c r="O75" s="141">
        <f>Założenia!N273*Założenia!N$297*Założenia!$G68/1000000+Założenia!N275*Założenia!N$297*Założenia!$J68/1000000+Założenia!N285*Założenia!N$301*Założenia!$G76/1000000+Założenia!N286*Założenia!N$301*Założenia!$J76/1000000</f>
        <v>2.1658130289473689E-2</v>
      </c>
      <c r="P75" s="141">
        <f>Założenia!O273*Założenia!O$297*Założenia!$G68/1000000+Założenia!O275*Założenia!O$297*Założenia!$J68/1000000+Założenia!O285*Założenia!O$301*Założenia!$G76/1000000+Założenia!O286*Założenia!O$301*Założenia!$J76/1000000</f>
        <v>2.1658130289473689E-2</v>
      </c>
      <c r="Q75" s="141">
        <f>Założenia!P273*Założenia!P$297*Założenia!$G68/1000000+Założenia!P275*Założenia!P$297*Założenia!$J68/1000000+Założenia!P285*Założenia!P$301*Założenia!$G76/1000000+Założenia!P286*Założenia!P$301*Założenia!$J76/1000000</f>
        <v>2.1658130289473689E-2</v>
      </c>
      <c r="R75" s="141">
        <f>Założenia!Q273*Założenia!Q$297*Założenia!$G68/1000000+Założenia!Q275*Założenia!Q$297*Założenia!$J68/1000000+Założenia!Q285*Założenia!Q$301*Założenia!$G76/1000000+Założenia!Q286*Założenia!Q$301*Założenia!$J76/1000000</f>
        <v>2.1658130289473689E-2</v>
      </c>
      <c r="S75" s="141">
        <f>Założenia!R273*Założenia!R$297*Założenia!$G68/1000000+Założenia!R275*Założenia!R$297*Założenia!$J68/1000000+Założenia!R285*Założenia!R$301*Założenia!$G76/1000000+Założenia!R286*Założenia!R$301*Założenia!$J76/1000000</f>
        <v>2.1658130289473689E-2</v>
      </c>
      <c r="T75" s="141">
        <f>Założenia!S273*Założenia!S$297*Założenia!$G68/1000000+Założenia!S275*Założenia!S$297*Założenia!$J68/1000000+Założenia!S285*Założenia!S$301*Założenia!$G76/1000000+Założenia!S286*Założenia!S$301*Założenia!$J76/1000000</f>
        <v>2.1658130289473689E-2</v>
      </c>
      <c r="U75" s="11"/>
    </row>
    <row r="76" spans="1:21" s="1" customFormat="1" ht="12">
      <c r="A76" s="82"/>
      <c r="B76" s="94" t="s">
        <v>230</v>
      </c>
      <c r="C76" s="175" t="s">
        <v>0</v>
      </c>
      <c r="D76" s="252"/>
      <c r="E76" s="141">
        <f>Założenia!D277*Założenia!D$299*Założenia!$E$166*Założenia!$E$107*Założenia!E84/1000000+Założenia!D287*Założenia!D$302*Założenia!$E$167*Założenia!$E$107*Założenia!E84/1000000</f>
        <v>2.1539092273796787E-3</v>
      </c>
      <c r="F76" s="141">
        <f>Założenia!E277*Założenia!E$299*Założenia!$E$166*Założenia!$E$107*Założenia!F84/1000000+Założenia!E287*Założenia!E$302*Założenia!$E$167*Założenia!$E$107*Założenia!F84/1000000</f>
        <v>2.0337679979299775E-3</v>
      </c>
      <c r="G76" s="141">
        <f>Założenia!F277*Założenia!F$299*Założenia!$E$166*Założenia!$E$107*Założenia!G84/1000000+Założenia!F287*Założenia!F$302*Założenia!$E$167*Założenia!$E$107*Założenia!G84/1000000</f>
        <v>1.9136267684802758E-3</v>
      </c>
      <c r="H76" s="141">
        <f>Założenia!G277*Założenia!G$299*Założenia!$E$166*Założenia!$E$107*Założenia!H84/1000000+Założenia!G287*Założenia!G$302*Założenia!$E$167*Założenia!$E$107*Założenia!H84/1000000</f>
        <v>1.7934855390305743E-3</v>
      </c>
      <c r="I76" s="141">
        <f>Założenia!H277*Założenia!H$299*Założenia!$E$166*Założenia!$E$107*Założenia!I84/1000000+Założenia!H287*Założenia!H$302*Założenia!$E$167*Założenia!$E$107*Założenia!I84/1000000</f>
        <v>1.7667235406142335E-3</v>
      </c>
      <c r="J76" s="141">
        <f>Założenia!I277*Założenia!I$299*Założenia!$E$166*Założenia!$E$107*Założenia!J84/1000000+Założenia!I287*Założenia!I$302*Założenia!$E$167*Założenia!$E$107*Założenia!J84/1000000</f>
        <v>1.7399615421978926E-3</v>
      </c>
      <c r="K76" s="141">
        <f>Założenia!J277*Założenia!J$299*Założenia!$E$166*Założenia!$E$107*Założenia!K84/1000000+Założenia!J287*Założenia!J$302*Założenia!$E$167*Założenia!$E$107*Założenia!K84/1000000</f>
        <v>1.713199543781552E-3</v>
      </c>
      <c r="L76" s="141">
        <f>Założenia!K277*Założenia!K$299*Założenia!$E$166*Założenia!$E$107*Założenia!L84/1000000+Założenia!K287*Założenia!K$302*Założenia!$E$167*Założenia!$E$107*Założenia!L84/1000000</f>
        <v>1.6864375453652109E-3</v>
      </c>
      <c r="M76" s="141">
        <f>Założenia!L277*Założenia!L$299*Założenia!$E$166*Założenia!$E$107*Założenia!M84/1000000+Założenia!L287*Założenia!L$302*Założenia!$E$167*Założenia!$E$107*Założenia!M84/1000000</f>
        <v>1.6596755469488707E-3</v>
      </c>
      <c r="N76" s="141">
        <f>Założenia!M277*Założenia!M$299*Założenia!$E$166*Założenia!$E$107*Założenia!N84/1000000+Założenia!M287*Założenia!M$302*Założenia!$E$167*Założenia!$E$107*Założenia!N84/1000000</f>
        <v>1.5772313260211115E-3</v>
      </c>
      <c r="O76" s="141">
        <f>Założenia!N277*Założenia!N$299*Założenia!$E$166*Założenia!$E$107*Założenia!O84/1000000+Założenia!N287*Założenia!N$302*Założenia!$E$167*Założenia!$E$107*Założenia!O84/1000000</f>
        <v>1.4947871050933522E-3</v>
      </c>
      <c r="P76" s="141">
        <f>Założenia!O277*Założenia!O$299*Założenia!$E$166*Założenia!$E$107*Założenia!P84/1000000+Założenia!O287*Założenia!O$302*Założenia!$E$167*Założenia!$E$107*Założenia!P84/1000000</f>
        <v>1.412342884165593E-3</v>
      </c>
      <c r="Q76" s="141">
        <f>Założenia!P277*Założenia!P$299*Założenia!$E$166*Założenia!$E$107*Założenia!Q84/1000000+Założenia!P287*Założenia!P$302*Założenia!$E$167*Założenia!$E$107*Założenia!Q84/1000000</f>
        <v>1.3298986632378337E-3</v>
      </c>
      <c r="R76" s="141">
        <f>Założenia!Q277*Założenia!Q$299*Założenia!$E$166*Założenia!$E$107*Założenia!R84/1000000+Założenia!Q287*Założenia!Q$302*Założenia!$E$167*Założenia!$E$107*Założenia!R84/1000000</f>
        <v>1.2474544423100745E-3</v>
      </c>
      <c r="S76" s="141">
        <f>Założenia!R277*Założenia!R$299*Założenia!$E$166*Założenia!$E$107*Założenia!S84/1000000+Założenia!R287*Założenia!R$302*Założenia!$E$167*Założenia!$E$107*Założenia!S84/1000000</f>
        <v>1.1492551739275339E-3</v>
      </c>
      <c r="T76" s="141">
        <f>Założenia!S277*Założenia!S$299*Założenia!$E$166*Założenia!$E$107*Założenia!T84/1000000+Założenia!S287*Założenia!S$302*Założenia!$E$167*Założenia!$E$107*Założenia!T84/1000000</f>
        <v>1.1001555397362637E-3</v>
      </c>
    </row>
    <row r="77" spans="1:21" s="23" customFormat="1">
      <c r="A77" s="82" t="s">
        <v>60</v>
      </c>
      <c r="B77" s="96" t="s">
        <v>180</v>
      </c>
      <c r="C77" s="175" t="s">
        <v>247</v>
      </c>
      <c r="D77" s="175"/>
      <c r="E77" s="157">
        <f>E78+E85</f>
        <v>0.35148493172545453</v>
      </c>
      <c r="F77" s="157">
        <f t="shared" ref="F77:T77" si="17">F78+F85</f>
        <v>0.34777179461504837</v>
      </c>
      <c r="G77" s="157">
        <f t="shared" si="17"/>
        <v>0.34776793986714216</v>
      </c>
      <c r="H77" s="157">
        <f t="shared" si="17"/>
        <v>0.34762512287144182</v>
      </c>
      <c r="I77" s="157">
        <f t="shared" si="17"/>
        <v>0.34761972622437309</v>
      </c>
      <c r="J77" s="157">
        <f t="shared" si="17"/>
        <v>0.34761432957730443</v>
      </c>
      <c r="K77" s="157">
        <f t="shared" si="17"/>
        <v>0.28189124956839362</v>
      </c>
      <c r="L77" s="157">
        <f t="shared" si="17"/>
        <v>0.28188585292132495</v>
      </c>
      <c r="M77" s="157">
        <f t="shared" si="17"/>
        <v>0.28188045627425623</v>
      </c>
      <c r="N77" s="157">
        <f t="shared" si="17"/>
        <v>0.28186445907044544</v>
      </c>
      <c r="O77" s="157">
        <f t="shared" si="17"/>
        <v>0.2818484618666347</v>
      </c>
      <c r="P77" s="157">
        <f t="shared" si="17"/>
        <v>0.28183246466282391</v>
      </c>
      <c r="Q77" s="157">
        <f t="shared" si="17"/>
        <v>0.28181646745901312</v>
      </c>
      <c r="R77" s="157">
        <f t="shared" si="17"/>
        <v>0.28180047025520233</v>
      </c>
      <c r="S77" s="157">
        <f t="shared" si="17"/>
        <v>0.28178071467218302</v>
      </c>
      <c r="T77" s="157">
        <f t="shared" si="17"/>
        <v>0.28177083688067334</v>
      </c>
      <c r="U77" s="11"/>
    </row>
    <row r="78" spans="1:21" s="23" customFormat="1">
      <c r="A78" s="82"/>
      <c r="B78" s="133" t="s">
        <v>314</v>
      </c>
      <c r="C78" s="175" t="s">
        <v>247</v>
      </c>
      <c r="D78" s="175"/>
      <c r="E78" s="157">
        <f>SUM(E79:E84)</f>
        <v>0.3511216217352941</v>
      </c>
      <c r="F78" s="157">
        <f t="shared" ref="F78:T78" si="18">SUM(F79:F84)</f>
        <v>0.34741233937279414</v>
      </c>
      <c r="G78" s="157">
        <f t="shared" si="18"/>
        <v>0.34741233937279414</v>
      </c>
      <c r="H78" s="157">
        <f t="shared" si="18"/>
        <v>0.347273377125</v>
      </c>
      <c r="I78" s="157">
        <f t="shared" si="18"/>
        <v>0.347273377125</v>
      </c>
      <c r="J78" s="157">
        <f t="shared" si="18"/>
        <v>0.347273377125</v>
      </c>
      <c r="K78" s="157">
        <f t="shared" si="18"/>
        <v>0.28155569376315792</v>
      </c>
      <c r="L78" s="157">
        <f t="shared" si="18"/>
        <v>0.28155569376315792</v>
      </c>
      <c r="M78" s="157">
        <f t="shared" si="18"/>
        <v>0.28155569376315792</v>
      </c>
      <c r="N78" s="157">
        <f t="shared" si="18"/>
        <v>0.28155569376315792</v>
      </c>
      <c r="O78" s="157">
        <f t="shared" si="18"/>
        <v>0.28155569376315792</v>
      </c>
      <c r="P78" s="157">
        <f t="shared" si="18"/>
        <v>0.28155569376315792</v>
      </c>
      <c r="Q78" s="157">
        <f t="shared" si="18"/>
        <v>0.28155569376315792</v>
      </c>
      <c r="R78" s="157">
        <f t="shared" si="18"/>
        <v>0.28155569376315792</v>
      </c>
      <c r="S78" s="157">
        <f t="shared" si="18"/>
        <v>0.28155569376315792</v>
      </c>
      <c r="T78" s="157">
        <f t="shared" si="18"/>
        <v>0.28155569376315792</v>
      </c>
      <c r="U78" s="11"/>
    </row>
    <row r="79" spans="1:21" s="23" customFormat="1">
      <c r="A79" s="82"/>
      <c r="B79" s="96" t="s">
        <v>361</v>
      </c>
      <c r="C79" s="175" t="s">
        <v>247</v>
      </c>
      <c r="D79" s="175"/>
      <c r="E79" s="141">
        <f>Założenia!D268*Założenia!D$297*Założenia!$E63/1000000+Założenia!D280*Założenia!D$301*Założenia!$E71/1000000</f>
        <v>0</v>
      </c>
      <c r="F79" s="141">
        <f>Założenia!E268*Założenia!E$297*Założenia!$E63/1000000+Założenia!E280*Założenia!E$301*Założenia!$E71/1000000</f>
        <v>0</v>
      </c>
      <c r="G79" s="141">
        <f>Założenia!F268*Założenia!F$297*Założenia!$E63/1000000+Założenia!F280*Założenia!F$301*Założenia!$E71/1000000</f>
        <v>0</v>
      </c>
      <c r="H79" s="141">
        <f>Założenia!G268*Założenia!G$297*Założenia!$E63/1000000+Założenia!G280*Założenia!G$301*Założenia!$E71/1000000</f>
        <v>0</v>
      </c>
      <c r="I79" s="141">
        <f>Założenia!H268*Założenia!H$297*Założenia!$E63/1000000+Założenia!H280*Założenia!H$301*Założenia!$E71/1000000</f>
        <v>0</v>
      </c>
      <c r="J79" s="141">
        <f>Założenia!I268*Założenia!I$297*Założenia!$E63/1000000+Założenia!I280*Założenia!I$301*Założenia!$E71/1000000</f>
        <v>0</v>
      </c>
      <c r="K79" s="141">
        <f>Założenia!J268*Założenia!J$297*Założenia!$E63/1000000+Założenia!J280*Założenia!J$301*Założenia!$E71/1000000</f>
        <v>0</v>
      </c>
      <c r="L79" s="141">
        <f>Założenia!K268*Założenia!K$297*Założenia!$E63/1000000+Założenia!K280*Założenia!K$301*Założenia!$E71/1000000</f>
        <v>0</v>
      </c>
      <c r="M79" s="141">
        <f>Założenia!L268*Założenia!L$297*Założenia!$E63/1000000+Założenia!L280*Założenia!L$301*Założenia!$E71/1000000</f>
        <v>0</v>
      </c>
      <c r="N79" s="141">
        <f>Założenia!M268*Założenia!M$297*Założenia!$E63/1000000+Założenia!M280*Założenia!M$301*Założenia!$E71/1000000</f>
        <v>0</v>
      </c>
      <c r="O79" s="141">
        <f>Założenia!N268*Założenia!N$297*Założenia!$E63/1000000+Założenia!N280*Założenia!N$301*Założenia!$E71/1000000</f>
        <v>0</v>
      </c>
      <c r="P79" s="141">
        <f>Założenia!O268*Założenia!O$297*Założenia!$E63/1000000+Założenia!O280*Założenia!O$301*Założenia!$E71/1000000</f>
        <v>0</v>
      </c>
      <c r="Q79" s="141">
        <f>Założenia!P268*Założenia!P$297*Założenia!$E63/1000000+Założenia!P280*Założenia!P$301*Założenia!$E71/1000000</f>
        <v>0</v>
      </c>
      <c r="R79" s="141">
        <f>Założenia!Q268*Założenia!Q$297*Założenia!$E63/1000000+Założenia!Q280*Założenia!Q$301*Założenia!$E71/1000000</f>
        <v>0</v>
      </c>
      <c r="S79" s="141">
        <f>Założenia!R268*Założenia!R$297*Założenia!$E63/1000000+Założenia!R280*Założenia!R$301*Założenia!$E71/1000000</f>
        <v>0</v>
      </c>
      <c r="T79" s="141">
        <f>Założenia!S268*Założenia!S$297*Założenia!$E63/1000000+Założenia!S280*Założenia!S$301*Założenia!$E71/1000000</f>
        <v>0</v>
      </c>
      <c r="U79" s="11"/>
    </row>
    <row r="80" spans="1:21" s="28" customFormat="1" ht="12">
      <c r="A80" s="82"/>
      <c r="B80" s="96" t="s">
        <v>362</v>
      </c>
      <c r="C80" s="175" t="s">
        <v>247</v>
      </c>
      <c r="D80" s="175"/>
      <c r="E80" s="141">
        <f>Założenia!D269*Założenia!D$297*Założenia!$E64/1000000+Założenia!D281*Założenia!D$301*Założenia!$E72/1000000</f>
        <v>0</v>
      </c>
      <c r="F80" s="141">
        <f>Założenia!E269*Założenia!E$297*Założenia!$E64/1000000+Założenia!E281*Założenia!E$301*Założenia!$E72/1000000</f>
        <v>0</v>
      </c>
      <c r="G80" s="141">
        <f>Założenia!F269*Założenia!F$297*Założenia!$E64/1000000+Założenia!F281*Założenia!F$301*Założenia!$E72/1000000</f>
        <v>0</v>
      </c>
      <c r="H80" s="141">
        <f>Założenia!G269*Założenia!G$297*Założenia!$E64/1000000+Założenia!G281*Założenia!G$301*Założenia!$E72/1000000</f>
        <v>0</v>
      </c>
      <c r="I80" s="141">
        <f>Założenia!H269*Założenia!H$297*Założenia!$E64/1000000+Założenia!H281*Założenia!H$301*Założenia!$E72/1000000</f>
        <v>0</v>
      </c>
      <c r="J80" s="141">
        <f>Założenia!I269*Założenia!I$297*Założenia!$E64/1000000+Założenia!I281*Założenia!I$301*Założenia!$E72/1000000</f>
        <v>0</v>
      </c>
      <c r="K80" s="141">
        <f>Założenia!J269*Założenia!J$297*Założenia!$E64/1000000+Założenia!J281*Założenia!J$301*Założenia!$E72/1000000</f>
        <v>0</v>
      </c>
      <c r="L80" s="141">
        <f>Założenia!K269*Założenia!K$297*Założenia!$E64/1000000+Założenia!K281*Założenia!K$301*Założenia!$E72/1000000</f>
        <v>0</v>
      </c>
      <c r="M80" s="141">
        <f>Założenia!L269*Założenia!L$297*Założenia!$E64/1000000+Założenia!L281*Założenia!L$301*Założenia!$E72/1000000</f>
        <v>0</v>
      </c>
      <c r="N80" s="141">
        <f>Założenia!M269*Założenia!M$297*Założenia!$E64/1000000+Założenia!M281*Założenia!M$301*Założenia!$E72/1000000</f>
        <v>0</v>
      </c>
      <c r="O80" s="141">
        <f>Założenia!N269*Założenia!N$297*Założenia!$E64/1000000+Założenia!N281*Założenia!N$301*Założenia!$E72/1000000</f>
        <v>0</v>
      </c>
      <c r="P80" s="141">
        <f>Założenia!O269*Założenia!O$297*Założenia!$E64/1000000+Założenia!O281*Założenia!O$301*Założenia!$E72/1000000</f>
        <v>0</v>
      </c>
      <c r="Q80" s="141">
        <f>Założenia!P269*Założenia!P$297*Założenia!$E64/1000000+Założenia!P281*Założenia!P$301*Założenia!$E72/1000000</f>
        <v>0</v>
      </c>
      <c r="R80" s="141">
        <f>Założenia!Q269*Założenia!Q$297*Założenia!$E64/1000000+Założenia!Q281*Założenia!Q$301*Założenia!$E72/1000000</f>
        <v>0</v>
      </c>
      <c r="S80" s="141">
        <f>Założenia!R269*Założenia!R$297*Założenia!$E64/1000000+Założenia!R281*Założenia!R$301*Założenia!$E72/1000000</f>
        <v>0</v>
      </c>
      <c r="T80" s="141">
        <f>Założenia!S269*Założenia!S$297*Założenia!$E64/1000000+Założenia!S281*Założenia!S$301*Założenia!$E72/1000000</f>
        <v>0</v>
      </c>
      <c r="U80" s="11"/>
    </row>
    <row r="81" spans="1:21" s="28" customFormat="1" ht="12">
      <c r="A81" s="82"/>
      <c r="B81" s="96" t="s">
        <v>363</v>
      </c>
      <c r="C81" s="175" t="s">
        <v>247</v>
      </c>
      <c r="D81" s="175"/>
      <c r="E81" s="141">
        <f>Założenia!D270*Założenia!D$297*Założenia!$E65/1000000+Założenia!D282*Założenia!D$301*Założenia!$E73/1000000</f>
        <v>0</v>
      </c>
      <c r="F81" s="141">
        <f>Założenia!E270*Założenia!E$297*Założenia!$E65/1000000+Założenia!E282*Założenia!E$301*Założenia!$E73/1000000</f>
        <v>0</v>
      </c>
      <c r="G81" s="141">
        <f>Założenia!F270*Założenia!F$297*Założenia!$E65/1000000+Założenia!F282*Założenia!F$301*Założenia!$E73/1000000</f>
        <v>0</v>
      </c>
      <c r="H81" s="141">
        <f>Założenia!G270*Założenia!G$297*Założenia!$E65/1000000+Założenia!G282*Założenia!G$301*Założenia!$E73/1000000</f>
        <v>0</v>
      </c>
      <c r="I81" s="141">
        <f>Założenia!H270*Założenia!H$297*Założenia!$E65/1000000+Założenia!H282*Założenia!H$301*Założenia!$E73/1000000</f>
        <v>0</v>
      </c>
      <c r="J81" s="141">
        <f>Założenia!I270*Założenia!I$297*Założenia!$E65/1000000+Założenia!I282*Założenia!I$301*Założenia!$E73/1000000</f>
        <v>0</v>
      </c>
      <c r="K81" s="141">
        <f>Założenia!J270*Założenia!J$297*Założenia!$E65/1000000+Założenia!J282*Założenia!J$301*Założenia!$E73/1000000</f>
        <v>0</v>
      </c>
      <c r="L81" s="141">
        <f>Założenia!K270*Założenia!K$297*Założenia!$E65/1000000+Założenia!K282*Założenia!K$301*Założenia!$E73/1000000</f>
        <v>0</v>
      </c>
      <c r="M81" s="141">
        <f>Założenia!L270*Założenia!L$297*Założenia!$E65/1000000+Założenia!L282*Założenia!L$301*Założenia!$E73/1000000</f>
        <v>0</v>
      </c>
      <c r="N81" s="141">
        <f>Założenia!M270*Założenia!M$297*Założenia!$E65/1000000+Założenia!M282*Założenia!M$301*Założenia!$E73/1000000</f>
        <v>0</v>
      </c>
      <c r="O81" s="141">
        <f>Założenia!N270*Założenia!N$297*Założenia!$E65/1000000+Założenia!N282*Założenia!N$301*Założenia!$E73/1000000</f>
        <v>0</v>
      </c>
      <c r="P81" s="141">
        <f>Założenia!O270*Założenia!O$297*Założenia!$E65/1000000+Założenia!O282*Założenia!O$301*Założenia!$E73/1000000</f>
        <v>0</v>
      </c>
      <c r="Q81" s="141">
        <f>Założenia!P270*Założenia!P$297*Założenia!$E65/1000000+Założenia!P282*Założenia!P$301*Założenia!$E73/1000000</f>
        <v>0</v>
      </c>
      <c r="R81" s="141">
        <f>Założenia!Q270*Założenia!Q$297*Założenia!$E65/1000000+Założenia!Q282*Założenia!Q$301*Założenia!$E73/1000000</f>
        <v>0</v>
      </c>
      <c r="S81" s="141">
        <f>Założenia!R270*Założenia!R$297*Założenia!$E65/1000000+Założenia!R282*Założenia!R$301*Założenia!$E73/1000000</f>
        <v>0</v>
      </c>
      <c r="T81" s="141">
        <f>Założenia!S270*Założenia!S$297*Założenia!$E65/1000000+Założenia!S282*Założenia!S$301*Założenia!$E73/1000000</f>
        <v>0</v>
      </c>
      <c r="U81" s="11"/>
    </row>
    <row r="82" spans="1:21" s="28" customFormat="1" ht="12">
      <c r="A82" s="82"/>
      <c r="B82" s="96" t="s">
        <v>364</v>
      </c>
      <c r="C82" s="175" t="s">
        <v>247</v>
      </c>
      <c r="D82" s="175"/>
      <c r="E82" s="141">
        <f>Założenia!D271*Założenia!D$297*Założenia!$E66/1000000+Założenia!D283*Założenia!D$301*Założenia!$E74/1000000</f>
        <v>0</v>
      </c>
      <c r="F82" s="141">
        <f>Założenia!E271*Założenia!E$297*Założenia!$E66/1000000+Założenia!E283*Założenia!E$301*Założenia!$E74/1000000</f>
        <v>0</v>
      </c>
      <c r="G82" s="141">
        <f>Założenia!F271*Założenia!F$297*Założenia!$E66/1000000+Założenia!F283*Założenia!F$301*Założenia!$E74/1000000</f>
        <v>0</v>
      </c>
      <c r="H82" s="141">
        <f>Założenia!G271*Założenia!G$297*Założenia!$E66/1000000+Założenia!G283*Założenia!G$301*Założenia!$E74/1000000</f>
        <v>0</v>
      </c>
      <c r="I82" s="141">
        <f>Założenia!H271*Założenia!H$297*Założenia!$E66/1000000+Założenia!H283*Założenia!H$301*Założenia!$E74/1000000</f>
        <v>0</v>
      </c>
      <c r="J82" s="141">
        <f>Założenia!I271*Założenia!I$297*Założenia!$E66/1000000+Założenia!I283*Założenia!I$301*Założenia!$E74/1000000</f>
        <v>0</v>
      </c>
      <c r="K82" s="141">
        <f>Założenia!J271*Założenia!J$297*Założenia!$E66/1000000+Założenia!J283*Założenia!J$301*Założenia!$E74/1000000</f>
        <v>0</v>
      </c>
      <c r="L82" s="141">
        <f>Założenia!K271*Założenia!K$297*Założenia!$E66/1000000+Założenia!K283*Założenia!K$301*Założenia!$E74/1000000</f>
        <v>0</v>
      </c>
      <c r="M82" s="141">
        <f>Założenia!L271*Założenia!L$297*Założenia!$E66/1000000+Założenia!L283*Założenia!L$301*Założenia!$E74/1000000</f>
        <v>0</v>
      </c>
      <c r="N82" s="141">
        <f>Założenia!M271*Założenia!M$297*Założenia!$E66/1000000+Założenia!M283*Założenia!M$301*Założenia!$E74/1000000</f>
        <v>0</v>
      </c>
      <c r="O82" s="141">
        <f>Założenia!N271*Założenia!N$297*Założenia!$E66/1000000+Założenia!N283*Założenia!N$301*Założenia!$E74/1000000</f>
        <v>0</v>
      </c>
      <c r="P82" s="141">
        <f>Założenia!O271*Założenia!O$297*Założenia!$E66/1000000+Założenia!O283*Założenia!O$301*Założenia!$E74/1000000</f>
        <v>0</v>
      </c>
      <c r="Q82" s="141">
        <f>Założenia!P271*Założenia!P$297*Założenia!$E66/1000000+Założenia!P283*Założenia!P$301*Założenia!$E74/1000000</f>
        <v>0</v>
      </c>
      <c r="R82" s="141">
        <f>Założenia!Q271*Założenia!Q$297*Założenia!$E66/1000000+Założenia!Q283*Założenia!Q$301*Założenia!$E74/1000000</f>
        <v>0</v>
      </c>
      <c r="S82" s="141">
        <f>Założenia!R271*Założenia!R$297*Założenia!$E66/1000000+Założenia!R283*Założenia!R$301*Założenia!$E74/1000000</f>
        <v>0</v>
      </c>
      <c r="T82" s="141">
        <f>Założenia!S271*Założenia!S$297*Założenia!$E66/1000000+Założenia!S283*Założenia!S$301*Założenia!$E74/1000000</f>
        <v>0</v>
      </c>
      <c r="U82" s="11"/>
    </row>
    <row r="83" spans="1:21" s="28" customFormat="1" ht="12">
      <c r="A83" s="82"/>
      <c r="B83" s="96" t="s">
        <v>365</v>
      </c>
      <c r="C83" s="175" t="s">
        <v>247</v>
      </c>
      <c r="D83" s="175"/>
      <c r="E83" s="141">
        <f>Założenia!D272*Założenia!D$297*Założenia!$E67/1000000+Założenia!D274*Założenia!D$297*Założenia!$H67/1000000+Założenia!D284*Założenia!D$301*Założenia!$E75/1000000</f>
        <v>9.0627906588235288E-2</v>
      </c>
      <c r="F83" s="141">
        <f>Założenia!E272*Założenia!E$297*Założenia!$E67/1000000+Założenia!E274*Założenia!E$297*Założenia!$H67/1000000+Założenia!E284*Założenia!E$301*Założenia!$E75/1000000</f>
        <v>8.9422488088235288E-2</v>
      </c>
      <c r="G83" s="141">
        <f>Założenia!F272*Założenia!F$297*Założenia!$E67/1000000+Założenia!F274*Założenia!F$297*Założenia!$H67/1000000+Założenia!F284*Założenia!F$301*Założenia!$E75/1000000</f>
        <v>8.9422488088235288E-2</v>
      </c>
      <c r="H83" s="141">
        <f>Założenia!G272*Założenia!G$297*Założenia!$E67/1000000+Założenia!G274*Założenia!G$297*Założenia!$H67/1000000+Założenia!G284*Założenia!G$301*Założenia!$E75/1000000</f>
        <v>8.9635209000000007E-2</v>
      </c>
      <c r="I83" s="141">
        <f>Założenia!H272*Założenia!H$297*Założenia!$E67/1000000+Założenia!H274*Założenia!H$297*Założenia!$H67/1000000+Założenia!H284*Założenia!H$301*Założenia!$E75/1000000</f>
        <v>8.9635209000000007E-2</v>
      </c>
      <c r="J83" s="141">
        <f>Założenia!I272*Założenia!I$297*Założenia!$E67/1000000+Założenia!I274*Założenia!I$297*Założenia!$H67/1000000+Założenia!I284*Założenia!I$301*Założenia!$E75/1000000</f>
        <v>8.9635209000000007E-2</v>
      </c>
      <c r="K83" s="141">
        <f>Założenia!J272*Założenia!J$297*Założenia!$E67/1000000+Założenia!J274*Założenia!J$297*Założenia!$H67/1000000+Założenia!J284*Założenia!J$301*Założenia!$E75/1000000</f>
        <v>0</v>
      </c>
      <c r="L83" s="141">
        <f>Założenia!K272*Założenia!K$297*Założenia!$E67/1000000+Założenia!K274*Założenia!K$297*Założenia!$H67/1000000+Założenia!K284*Założenia!K$301*Założenia!$E75/1000000</f>
        <v>0</v>
      </c>
      <c r="M83" s="141">
        <f>Założenia!L272*Założenia!L$297*Założenia!$E67/1000000+Założenia!L274*Założenia!L$297*Założenia!$H67/1000000+Założenia!L284*Założenia!L$301*Założenia!$E75/1000000</f>
        <v>0</v>
      </c>
      <c r="N83" s="141">
        <f>Założenia!M272*Założenia!M$297*Założenia!$E67/1000000+Założenia!M274*Założenia!M$297*Założenia!$H67/1000000+Założenia!M284*Założenia!M$301*Założenia!$E75/1000000</f>
        <v>0</v>
      </c>
      <c r="O83" s="141">
        <f>Założenia!N272*Założenia!N$297*Założenia!$E67/1000000+Założenia!N274*Założenia!N$297*Założenia!$H67/1000000+Założenia!N284*Założenia!N$301*Założenia!$E75/1000000</f>
        <v>0</v>
      </c>
      <c r="P83" s="141">
        <f>Założenia!O272*Założenia!O$297*Założenia!$E67/1000000+Założenia!O274*Założenia!O$297*Założenia!$H67/1000000+Założenia!O284*Założenia!O$301*Założenia!$E75/1000000</f>
        <v>0</v>
      </c>
      <c r="Q83" s="141">
        <f>Założenia!P272*Założenia!P$297*Założenia!$E67/1000000+Założenia!P274*Założenia!P$297*Założenia!$H67/1000000+Założenia!P284*Założenia!P$301*Założenia!$E75/1000000</f>
        <v>0</v>
      </c>
      <c r="R83" s="141">
        <f>Założenia!Q272*Założenia!Q$297*Założenia!$E67/1000000+Założenia!Q274*Założenia!Q$297*Założenia!$H67/1000000+Założenia!Q284*Założenia!Q$301*Założenia!$E75/1000000</f>
        <v>0</v>
      </c>
      <c r="S83" s="141">
        <f>Założenia!R272*Założenia!R$297*Założenia!$E67/1000000+Założenia!R274*Założenia!R$297*Założenia!$H67/1000000+Założenia!R284*Założenia!R$301*Założenia!$E75/1000000</f>
        <v>0</v>
      </c>
      <c r="T83" s="141">
        <f>Założenia!S272*Założenia!S$297*Założenia!$E67/1000000+Założenia!S274*Założenia!S$297*Założenia!$H67/1000000+Założenia!S284*Założenia!S$301*Założenia!$E75/1000000</f>
        <v>0</v>
      </c>
      <c r="U83" s="11"/>
    </row>
    <row r="84" spans="1:21" s="28" customFormat="1" ht="12">
      <c r="A84" s="82"/>
      <c r="B84" s="96" t="s">
        <v>367</v>
      </c>
      <c r="C84" s="175" t="s">
        <v>247</v>
      </c>
      <c r="D84" s="175"/>
      <c r="E84" s="141">
        <f>Założenia!D273*Założenia!D$297*Założenia!$E68/1000000+Założenia!D275*Założenia!D$297*Założenia!$H68/1000000+Założenia!D285*Założenia!D$301*Założenia!$E76/1000000+Założenia!D286*Założenia!D$301*Założenia!$H76/1000000</f>
        <v>0.26049371514705882</v>
      </c>
      <c r="F84" s="141">
        <f>Założenia!E273*Założenia!E$297*Założenia!$E68/1000000+Założenia!E275*Założenia!E$297*Założenia!$H68/1000000+Założenia!E285*Założenia!E$301*Założenia!$E76/1000000+Założenia!E286*Założenia!E$301*Założenia!$H76/1000000</f>
        <v>0.25798985128455887</v>
      </c>
      <c r="G84" s="141">
        <f>Założenia!F273*Założenia!F$297*Założenia!$E68/1000000+Założenia!F275*Założenia!F$297*Założenia!$H68/1000000+Założenia!F285*Założenia!F$301*Założenia!$E76/1000000+Założenia!F286*Założenia!F$301*Założenia!$H76/1000000</f>
        <v>0.25798985128455887</v>
      </c>
      <c r="H84" s="141">
        <f>Założenia!G273*Założenia!G$297*Założenia!$E68/1000000+Założenia!G275*Założenia!G$297*Założenia!$H68/1000000+Założenia!G285*Założenia!G$301*Założenia!$E76/1000000+Założenia!G286*Założenia!G$301*Założenia!$H76/1000000</f>
        <v>0.25763816812500001</v>
      </c>
      <c r="I84" s="141">
        <f>Założenia!H273*Założenia!H$297*Założenia!$E68/1000000+Założenia!H275*Założenia!H$297*Założenia!$H68/1000000+Założenia!H285*Założenia!H$301*Założenia!$E76/1000000+Założenia!H286*Założenia!H$301*Założenia!$H76/1000000</f>
        <v>0.25763816812500001</v>
      </c>
      <c r="J84" s="141">
        <f>Założenia!I273*Założenia!I$297*Założenia!$E68/1000000+Założenia!I275*Założenia!I$297*Założenia!$H68/1000000+Założenia!I285*Założenia!I$301*Założenia!$E76/1000000+Założenia!I286*Założenia!I$301*Założenia!$H76/1000000</f>
        <v>0.25763816812500001</v>
      </c>
      <c r="K84" s="141">
        <f>Założenia!J273*Założenia!J$297*Założenia!$E68/1000000+Założenia!J275*Założenia!J$297*Założenia!$H68/1000000+Założenia!J285*Założenia!J$301*Założenia!$E76/1000000+Założenia!J286*Założenia!J$301*Założenia!$H76/1000000</f>
        <v>0.28155569376315792</v>
      </c>
      <c r="L84" s="141">
        <f>Założenia!K273*Założenia!K$297*Założenia!$E68/1000000+Założenia!K275*Założenia!K$297*Założenia!$H68/1000000+Założenia!K285*Założenia!K$301*Założenia!$E76/1000000+Założenia!K286*Założenia!K$301*Założenia!$H76/1000000</f>
        <v>0.28155569376315792</v>
      </c>
      <c r="M84" s="141">
        <f>Założenia!L273*Założenia!L$297*Założenia!$E68/1000000+Założenia!L275*Założenia!L$297*Założenia!$H68/1000000+Założenia!L285*Założenia!L$301*Założenia!$E76/1000000+Założenia!L286*Założenia!L$301*Założenia!$H76/1000000</f>
        <v>0.28155569376315792</v>
      </c>
      <c r="N84" s="141">
        <f>Założenia!M273*Założenia!M$297*Założenia!$E68/1000000+Założenia!M275*Założenia!M$297*Założenia!$H68/1000000+Założenia!M285*Założenia!M$301*Założenia!$E76/1000000+Założenia!M286*Założenia!M$301*Założenia!$H76/1000000</f>
        <v>0.28155569376315792</v>
      </c>
      <c r="O84" s="141">
        <f>Założenia!N273*Założenia!N$297*Założenia!$E68/1000000+Założenia!N275*Założenia!N$297*Założenia!$H68/1000000+Założenia!N285*Założenia!N$301*Założenia!$E76/1000000+Założenia!N286*Założenia!N$301*Założenia!$H76/1000000</f>
        <v>0.28155569376315792</v>
      </c>
      <c r="P84" s="141">
        <f>Założenia!O273*Założenia!O$297*Założenia!$E68/1000000+Założenia!O275*Założenia!O$297*Założenia!$H68/1000000+Założenia!O285*Założenia!O$301*Założenia!$E76/1000000+Założenia!O286*Założenia!O$301*Założenia!$H76/1000000</f>
        <v>0.28155569376315792</v>
      </c>
      <c r="Q84" s="141">
        <f>Założenia!P273*Założenia!P$297*Założenia!$E68/1000000+Założenia!P275*Założenia!P$297*Założenia!$H68/1000000+Założenia!P285*Założenia!P$301*Założenia!$E76/1000000+Założenia!P286*Założenia!P$301*Założenia!$H76/1000000</f>
        <v>0.28155569376315792</v>
      </c>
      <c r="R84" s="141">
        <f>Założenia!Q273*Założenia!Q$297*Założenia!$E68/1000000+Założenia!Q275*Założenia!Q$297*Założenia!$H68/1000000+Założenia!Q285*Założenia!Q$301*Założenia!$E76/1000000+Założenia!Q286*Założenia!Q$301*Założenia!$H76/1000000</f>
        <v>0.28155569376315792</v>
      </c>
      <c r="S84" s="141">
        <f>Założenia!R273*Założenia!R$297*Założenia!$E68/1000000+Założenia!R275*Założenia!R$297*Założenia!$H68/1000000+Założenia!R285*Założenia!R$301*Założenia!$E76/1000000+Założenia!R286*Założenia!R$301*Założenia!$H76/1000000</f>
        <v>0.28155569376315792</v>
      </c>
      <c r="T84" s="141">
        <f>Założenia!S273*Założenia!S$297*Założenia!$E68/1000000+Założenia!S275*Założenia!S$297*Założenia!$H68/1000000+Założenia!S285*Założenia!S$301*Założenia!$E76/1000000+Założenia!S286*Założenia!S$301*Założenia!$H76/1000000</f>
        <v>0.28155569376315792</v>
      </c>
      <c r="U84" s="11"/>
    </row>
    <row r="85" spans="1:21" s="1" customFormat="1" ht="12">
      <c r="A85" s="82"/>
      <c r="B85" s="94" t="s">
        <v>230</v>
      </c>
      <c r="C85" s="175" t="s">
        <v>247</v>
      </c>
      <c r="D85" s="252"/>
      <c r="E85" s="157">
        <f>Założenia!D277*Założenia!D$299*Założenia!$E$166*Założenia!$E$107*Założenia!E81/1000000+Założenia!D287*Założenia!D$302*Założenia!$E$167*Założenia!$E$107*Założenia!E81/1000000</f>
        <v>3.6330999016042769E-4</v>
      </c>
      <c r="F85" s="157">
        <f>Założenia!E277*Założenia!E$299*Założenia!$E$166*Założenia!$E$107*Założenia!F81/1000000+Założenia!E287*Założenia!E$302*Założenia!$E$167*Założenia!$E$107*Założenia!F81/1000000</f>
        <v>3.5945524225421626E-4</v>
      </c>
      <c r="G85" s="157">
        <f>Założenia!F277*Założenia!F$299*Założenia!$E$166*Założenia!$E$107*Założenia!G81/1000000+Założenia!F287*Założenia!F$302*Założenia!$E$167*Założenia!$E$107*Założenia!G81/1000000</f>
        <v>3.5560049434800483E-4</v>
      </c>
      <c r="H85" s="157">
        <f>Założenia!G277*Założenia!G$299*Założenia!$E$166*Założenia!$E$107*Założenia!H81/1000000+Założenia!G287*Założenia!G$302*Założenia!$E$167*Założenia!$E$107*Założenia!H81/1000000</f>
        <v>3.517457464417934E-4</v>
      </c>
      <c r="I85" s="157">
        <f>Założenia!H277*Założenia!H$299*Założenia!$E$166*Założenia!$E$107*Założenia!I81/1000000+Założenia!H287*Założenia!H$302*Założenia!$E$167*Założenia!$E$107*Założenia!I81/1000000</f>
        <v>3.463490993730974E-4</v>
      </c>
      <c r="J85" s="157">
        <f>Założenia!I277*Założenia!I$299*Założenia!$E$166*Założenia!$E$107*Założenia!J81/1000000+Założenia!I287*Założenia!I$302*Założenia!$E$167*Założenia!$E$107*Założenia!J81/1000000</f>
        <v>3.4095245230440134E-4</v>
      </c>
      <c r="K85" s="157">
        <f>Założenia!J277*Założenia!J$299*Założenia!$E$166*Założenia!$E$107*Założenia!K81/1000000+Założenia!J287*Założenia!J$302*Założenia!$E$167*Założenia!$E$107*Założenia!K81/1000000</f>
        <v>3.3555580523570534E-4</v>
      </c>
      <c r="L85" s="157">
        <f>Założenia!K277*Założenia!K$299*Założenia!$E$166*Założenia!$E$107*Założenia!L81/1000000+Założenia!K287*Założenia!K$302*Założenia!$E$167*Założenia!$E$107*Założenia!L81/1000000</f>
        <v>3.3015915816700928E-4</v>
      </c>
      <c r="M85" s="157">
        <f>Założenia!L277*Założenia!L$299*Założenia!$E$166*Założenia!$E$107*Założenia!M81/1000000+Założenia!L287*Założenia!L$302*Założenia!$E$167*Założenia!$E$107*Założenia!M81/1000000</f>
        <v>3.2476251109831334E-4</v>
      </c>
      <c r="N85" s="157">
        <f>Założenia!M277*Założenia!M$299*Założenia!$E$166*Założenia!$E$107*Założenia!N81/1000000+Założenia!M287*Założenia!M$302*Założenia!$E$167*Założenia!$E$107*Założenia!N81/1000000</f>
        <v>3.0876530728753593E-4</v>
      </c>
      <c r="O85" s="157">
        <f>Założenia!N277*Założenia!N$299*Założenia!$E$166*Założenia!$E$107*Założenia!O81/1000000+Założenia!N287*Założenia!N$302*Założenia!$E$167*Założenia!$E$107*Założenia!O81/1000000</f>
        <v>2.9276810347675841E-4</v>
      </c>
      <c r="P85" s="157">
        <f>Założenia!O277*Założenia!O$299*Założenia!$E$166*Założenia!$E$107*Założenia!P81/1000000+Założenia!O287*Założenia!O$302*Założenia!$E$167*Założenia!$E$107*Założenia!P81/1000000</f>
        <v>2.7677089966598095E-4</v>
      </c>
      <c r="Q85" s="157">
        <f>Założenia!P277*Założenia!P$299*Założenia!$E$166*Założenia!$E$107*Założenia!Q81/1000000+Założenia!P287*Założenia!P$302*Założenia!$E$167*Założenia!$E$107*Założenia!Q81/1000000</f>
        <v>2.6077369585520349E-4</v>
      </c>
      <c r="R85" s="157">
        <f>Założenia!Q277*Założenia!Q$299*Założenia!$E$166*Założenia!$E$107*Założenia!R81/1000000+Założenia!Q287*Założenia!Q$302*Założenia!$E$167*Założenia!$E$107*Założenia!R81/1000000</f>
        <v>2.4477649204442608E-4</v>
      </c>
      <c r="S85" s="157">
        <f>Założenia!R277*Założenia!R$299*Założenia!$E$166*Założenia!$E$107*Założenia!S81/1000000+Założenia!R287*Założenia!R$302*Założenia!$E$167*Założenia!$E$107*Założenia!S81/1000000</f>
        <v>2.2502090902509249E-4</v>
      </c>
      <c r="T85" s="157">
        <f>Założenia!S277*Założenia!S$299*Założenia!$E$166*Założenia!$E$107*Założenia!T81/1000000+Założenia!S287*Założenia!S$302*Założenia!$E$167*Założenia!$E$107*Założenia!T81/1000000</f>
        <v>2.1514311751542569E-4</v>
      </c>
    </row>
    <row r="86" spans="1:21" s="23" customFormat="1">
      <c r="A86" s="37" t="s">
        <v>29</v>
      </c>
      <c r="B86" s="133" t="s">
        <v>154</v>
      </c>
      <c r="C86" s="175" t="s">
        <v>0</v>
      </c>
      <c r="D86" s="253"/>
      <c r="E86" s="92">
        <f>E90+E94+E98</f>
        <v>560167.96014155017</v>
      </c>
      <c r="F86" s="92">
        <f t="shared" ref="F86:T86" si="19">F90+F94+F98</f>
        <v>559044.14519722271</v>
      </c>
      <c r="G86" s="92">
        <f t="shared" si="19"/>
        <v>572602.89128173818</v>
      </c>
      <c r="H86" s="92">
        <f t="shared" si="19"/>
        <v>588419.39422254625</v>
      </c>
      <c r="I86" s="92">
        <f t="shared" si="19"/>
        <v>603809.32982207974</v>
      </c>
      <c r="J86" s="92">
        <f t="shared" si="19"/>
        <v>619692.57095294259</v>
      </c>
      <c r="K86" s="92">
        <f t="shared" si="19"/>
        <v>632219.98264717998</v>
      </c>
      <c r="L86" s="92">
        <f t="shared" si="19"/>
        <v>648529.87231721578</v>
      </c>
      <c r="M86" s="92">
        <f t="shared" si="19"/>
        <v>664831.59034497477</v>
      </c>
      <c r="N86" s="92">
        <f t="shared" si="19"/>
        <v>681648.50305746647</v>
      </c>
      <c r="O86" s="92">
        <f t="shared" si="19"/>
        <v>698445.03293388116</v>
      </c>
      <c r="P86" s="92">
        <f t="shared" si="19"/>
        <v>715751.85836018529</v>
      </c>
      <c r="Q86" s="92">
        <f t="shared" si="19"/>
        <v>733002.48618842603</v>
      </c>
      <c r="R86" s="92">
        <f t="shared" si="19"/>
        <v>750160.4432928866</v>
      </c>
      <c r="S86" s="92">
        <f t="shared" si="19"/>
        <v>767198.9988832518</v>
      </c>
      <c r="T86" s="92">
        <f t="shared" si="19"/>
        <v>784081.56065529399</v>
      </c>
      <c r="U86" s="11"/>
    </row>
    <row r="87" spans="1:21" s="23" customFormat="1">
      <c r="A87" s="82" t="s">
        <v>50</v>
      </c>
      <c r="B87" s="133" t="s">
        <v>370</v>
      </c>
      <c r="C87" s="175"/>
      <c r="D87" s="175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1"/>
    </row>
    <row r="88" spans="1:21" s="23" customFormat="1">
      <c r="A88" s="82"/>
      <c r="B88" s="96" t="s">
        <v>155</v>
      </c>
      <c r="C88" s="175" t="s">
        <v>142</v>
      </c>
      <c r="D88" s="175"/>
      <c r="E88" s="140">
        <f>Założenia!E26</f>
        <v>0.60293707892576454</v>
      </c>
      <c r="F88" s="140">
        <f>Założenia!F26</f>
        <v>0.6082900597151405</v>
      </c>
      <c r="G88" s="140">
        <f>Założenia!G26</f>
        <v>0.62304318884862364</v>
      </c>
      <c r="H88" s="140">
        <f>Założenia!H26</f>
        <v>0.6402449056498758</v>
      </c>
      <c r="I88" s="140">
        <f>Założenia!I26</f>
        <v>0.65699032220586784</v>
      </c>
      <c r="J88" s="140">
        <f>Założenia!J26</f>
        <v>0.67427249257463973</v>
      </c>
      <c r="K88" s="140">
        <f>Założenia!K26</f>
        <v>0.6915689537590668</v>
      </c>
      <c r="L88" s="140">
        <f>Założenia!L26</f>
        <v>0.70940991678558207</v>
      </c>
      <c r="M88" s="140">
        <f>Założenia!M26</f>
        <v>0.72724194106568785</v>
      </c>
      <c r="N88" s="140">
        <f>Założenia!N26</f>
        <v>0.74563752337762157</v>
      </c>
      <c r="O88" s="140">
        <f>Założenia!O26</f>
        <v>0.76401080943665689</v>
      </c>
      <c r="P88" s="140">
        <f>Założenia!P26</f>
        <v>0.78294229449166097</v>
      </c>
      <c r="Q88" s="140">
        <f>Założenia!Q26</f>
        <v>0.80181230645950674</v>
      </c>
      <c r="R88" s="140">
        <f>Założenia!R26</f>
        <v>0.82058094833901629</v>
      </c>
      <c r="S88" s="140">
        <f>Założenia!S26</f>
        <v>0.83921898001567463</v>
      </c>
      <c r="T88" s="140">
        <f>Założenia!T26</f>
        <v>0.85768637412203863</v>
      </c>
      <c r="U88" s="11"/>
    </row>
    <row r="89" spans="1:21" s="23" customFormat="1">
      <c r="A89" s="82"/>
      <c r="B89" s="96" t="s">
        <v>76</v>
      </c>
      <c r="C89" s="175" t="s">
        <v>134</v>
      </c>
      <c r="D89" s="175"/>
      <c r="E89" s="91">
        <f>(Założenia!D268+Założenia!D269+Założenia!D270+Założenia!D271+Założenia!D272)*Założenia!D297+(Założenia!D280+Założenia!D281+Założenia!D282+Założenia!D283+Założenia!D284)*Założenia!D301</f>
        <v>98508.594117647051</v>
      </c>
      <c r="F89" s="91">
        <f>(Założenia!E268+Założenia!E269+Założenia!E270+Założenia!E271+Założenia!E272)*Założenia!E297+(Założenia!E280+Założenia!E281+Założenia!E282+Założenia!E283+Założenia!E284)*Założenia!E301</f>
        <v>97198.356617647049</v>
      </c>
      <c r="G89" s="91">
        <f>(Założenia!F268+Założenia!F269+Założenia!F270+Założenia!F271+Założenia!F272)*Założenia!F297+(Założenia!F280+Założenia!F281+Założenia!F282+Założenia!F283+Założenia!F284)*Założenia!F301</f>
        <v>97198.356617647049</v>
      </c>
      <c r="H89" s="91">
        <f>(Założenia!G268+Założenia!G269+Założenia!G270+Założenia!G271+Założenia!G272)*Założenia!G297+(Założenia!G280+Założenia!G281+Założenia!G282+Założenia!G283+Założenia!G284)*Założenia!G301</f>
        <v>97429.574999999997</v>
      </c>
      <c r="I89" s="91">
        <f>(Założenia!H268+Założenia!H269+Założenia!H270+Założenia!H271+Założenia!H272)*Założenia!H297+(Założenia!H280+Założenia!H281+Założenia!H282+Założenia!H283+Założenia!H284)*Założenia!H301</f>
        <v>97429.574999999997</v>
      </c>
      <c r="J89" s="91">
        <f>(Założenia!I268+Założenia!I269+Założenia!I270+Założenia!I271+Założenia!I272)*Założenia!I297+(Założenia!I280+Założenia!I281+Założenia!I282+Założenia!I283+Założenia!I284)*Założenia!I301</f>
        <v>97429.574999999997</v>
      </c>
      <c r="K89" s="91">
        <f>(Założenia!J268+Założenia!J269+Założenia!J270+Założenia!J271+Założenia!J272)*Założenia!J297+(Założenia!J280+Założenia!J281+Założenia!J282+Założenia!J283+Założenia!J284)*Założenia!J301</f>
        <v>0</v>
      </c>
      <c r="L89" s="91">
        <f>(Założenia!K268+Założenia!K269+Założenia!K270+Założenia!K271+Założenia!K272)*Założenia!K297+(Założenia!K280+Założenia!K281+Założenia!K282+Założenia!K283+Założenia!K284)*Założenia!K301</f>
        <v>0</v>
      </c>
      <c r="M89" s="91">
        <f>(Założenia!L268+Założenia!L269+Założenia!L270+Założenia!L271+Założenia!L272)*Założenia!L297+(Założenia!L280+Założenia!L281+Założenia!L282+Założenia!L283+Założenia!L284)*Założenia!L301</f>
        <v>0</v>
      </c>
      <c r="N89" s="91">
        <f>(Założenia!M268+Założenia!M269+Założenia!M270+Założenia!M271+Założenia!M272)*Założenia!M297+(Założenia!M280+Założenia!M281+Założenia!M282+Założenia!M283+Założenia!M284)*Założenia!M301</f>
        <v>0</v>
      </c>
      <c r="O89" s="91">
        <f>(Założenia!N268+Założenia!N269+Założenia!N270+Założenia!N271+Założenia!N272)*Założenia!N297+(Założenia!N280+Założenia!N281+Założenia!N282+Założenia!N283+Założenia!N284)*Założenia!N301</f>
        <v>0</v>
      </c>
      <c r="P89" s="91">
        <f>(Założenia!O268+Założenia!O269+Założenia!O270+Założenia!O271+Założenia!O272)*Założenia!O297+(Założenia!O280+Założenia!O281+Założenia!O282+Założenia!O283+Założenia!O284)*Założenia!O301</f>
        <v>0</v>
      </c>
      <c r="Q89" s="91">
        <f>(Założenia!P268+Założenia!P269+Założenia!P270+Założenia!P271+Założenia!P272)*Założenia!P297+(Założenia!P280+Założenia!P281+Założenia!P282+Założenia!P283+Założenia!P284)*Założenia!P301</f>
        <v>0</v>
      </c>
      <c r="R89" s="91">
        <f>(Założenia!Q268+Założenia!Q269+Założenia!Q270+Założenia!Q271+Założenia!Q272)*Założenia!Q297+(Założenia!Q280+Założenia!Q281+Założenia!Q282+Założenia!Q283+Założenia!Q284)*Założenia!Q301</f>
        <v>0</v>
      </c>
      <c r="S89" s="91">
        <f>(Założenia!R268+Założenia!R269+Założenia!R270+Założenia!R271+Założenia!R272)*Założenia!R297+(Założenia!R280+Założenia!R281+Założenia!R282+Założenia!R283+Założenia!R284)*Założenia!R301</f>
        <v>0</v>
      </c>
      <c r="T89" s="91">
        <f>(Założenia!S268+Założenia!S269+Założenia!S270+Założenia!S271+Założenia!S272)*Założenia!S297+(Założenia!S280+Założenia!S281+Założenia!S282+Założenia!S283+Założenia!S284)*Założenia!S301</f>
        <v>0</v>
      </c>
      <c r="U89" s="11"/>
    </row>
    <row r="90" spans="1:21" s="23" customFormat="1">
      <c r="A90" s="82"/>
      <c r="B90" s="96" t="s">
        <v>156</v>
      </c>
      <c r="C90" s="175" t="s">
        <v>0</v>
      </c>
      <c r="D90" s="175"/>
      <c r="E90" s="91">
        <f>E88*E89</f>
        <v>59394.483986377862</v>
      </c>
      <c r="F90" s="91">
        <f t="shared" ref="F90:T90" si="20">F88*F89</f>
        <v>59124.794151162045</v>
      </c>
      <c r="G90" s="91">
        <f t="shared" si="20"/>
        <v>60558.774057904535</v>
      </c>
      <c r="H90" s="91">
        <f t="shared" si="20"/>
        <v>62378.789053382498</v>
      </c>
      <c r="I90" s="91">
        <f t="shared" si="20"/>
        <v>64010.28787163076</v>
      </c>
      <c r="J90" s="91">
        <f t="shared" si="20"/>
        <v>65694.082385737798</v>
      </c>
      <c r="K90" s="91">
        <f t="shared" si="20"/>
        <v>0</v>
      </c>
      <c r="L90" s="91">
        <f t="shared" si="20"/>
        <v>0</v>
      </c>
      <c r="M90" s="91">
        <f t="shared" si="20"/>
        <v>0</v>
      </c>
      <c r="N90" s="91">
        <f t="shared" si="20"/>
        <v>0</v>
      </c>
      <c r="O90" s="91">
        <f t="shared" si="20"/>
        <v>0</v>
      </c>
      <c r="P90" s="91">
        <f t="shared" si="20"/>
        <v>0</v>
      </c>
      <c r="Q90" s="91">
        <f t="shared" si="20"/>
        <v>0</v>
      </c>
      <c r="R90" s="91">
        <f t="shared" si="20"/>
        <v>0</v>
      </c>
      <c r="S90" s="91">
        <f t="shared" si="20"/>
        <v>0</v>
      </c>
      <c r="T90" s="91">
        <f t="shared" si="20"/>
        <v>0</v>
      </c>
      <c r="U90" s="11"/>
    </row>
    <row r="91" spans="1:21" s="23" customFormat="1">
      <c r="A91" s="82" t="s">
        <v>51</v>
      </c>
      <c r="B91" s="133" t="s">
        <v>369</v>
      </c>
      <c r="C91" s="175"/>
      <c r="D91" s="175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1"/>
    </row>
    <row r="92" spans="1:21" s="23" customFormat="1">
      <c r="A92" s="82"/>
      <c r="B92" s="96" t="s">
        <v>155</v>
      </c>
      <c r="C92" s="175" t="s">
        <v>142</v>
      </c>
      <c r="D92" s="175"/>
      <c r="E92" s="140">
        <f>E88*(1-Założenia!$E$29)</f>
        <v>0.57279022497947629</v>
      </c>
      <c r="F92" s="140">
        <f>F88*(1-Założenia!$E$29)</f>
        <v>0.5778755567293834</v>
      </c>
      <c r="G92" s="140">
        <f>G88*(1-Założenia!$E$29)</f>
        <v>0.59189102940619243</v>
      </c>
      <c r="H92" s="140">
        <f>H88*(1-Założenia!$E$29)</f>
        <v>0.60823266036738199</v>
      </c>
      <c r="I92" s="140">
        <f>I88*(1-Założenia!$E$29)</f>
        <v>0.62414080609557443</v>
      </c>
      <c r="J92" s="140">
        <f>J88*(1-Założenia!$E$29)</f>
        <v>0.64055886794590766</v>
      </c>
      <c r="K92" s="140">
        <f>K88*(1-Założenia!$E$29)</f>
        <v>0.65699050607111342</v>
      </c>
      <c r="L92" s="140">
        <f>L88*(1-Założenia!$E$29)</f>
        <v>0.67393942094630299</v>
      </c>
      <c r="M92" s="140">
        <f>M88*(1-Założenia!$E$29)</f>
        <v>0.69087984401240343</v>
      </c>
      <c r="N92" s="140">
        <f>N88*(1-Założenia!$E$29)</f>
        <v>0.70835564720874045</v>
      </c>
      <c r="O92" s="140">
        <f>O88*(1-Założenia!$E$29)</f>
        <v>0.72581026896482403</v>
      </c>
      <c r="P92" s="140">
        <f>P88*(1-Założenia!$E$29)</f>
        <v>0.74379517976707787</v>
      </c>
      <c r="Q92" s="140">
        <f>Q88*(1-Założenia!$E$29)</f>
        <v>0.76172169113653132</v>
      </c>
      <c r="R92" s="140">
        <f>R88*(1-Założenia!$E$29)</f>
        <v>0.77955190092206539</v>
      </c>
      <c r="S92" s="140">
        <f>S88*(1-Założenia!$E$29)</f>
        <v>0.7972580310148909</v>
      </c>
      <c r="T92" s="140">
        <f>T88*(1-Założenia!$E$29)</f>
        <v>0.81480205541593664</v>
      </c>
      <c r="U92" s="11"/>
    </row>
    <row r="93" spans="1:21" s="23" customFormat="1">
      <c r="A93" s="82"/>
      <c r="B93" s="96" t="s">
        <v>76</v>
      </c>
      <c r="C93" s="175" t="s">
        <v>134</v>
      </c>
      <c r="D93" s="175"/>
      <c r="E93" s="91">
        <f>Założenia!D273*Założenia!D297+Założenia!D285*Założenia!D301</f>
        <v>857960.60588235292</v>
      </c>
      <c r="F93" s="91">
        <f>Założenia!E273*Założenia!E297+Założenia!E285*Założenia!E301</f>
        <v>848788.94338235294</v>
      </c>
      <c r="G93" s="91">
        <f>Założenia!F273*Założenia!F297+Założenia!F285*Założenia!F301</f>
        <v>848788.94338235294</v>
      </c>
      <c r="H93" s="91">
        <f>Założenia!G273*Założenia!G297+Założenia!G285*Założenia!G301</f>
        <v>848557.72500000009</v>
      </c>
      <c r="I93" s="91">
        <f>Założenia!H273*Założenia!H297+Założenia!H285*Założenia!H301</f>
        <v>848557.72500000009</v>
      </c>
      <c r="J93" s="91">
        <f>Założenia!I273*Założenia!I297+Założenia!I285*Założenia!I301</f>
        <v>848557.72500000009</v>
      </c>
      <c r="K93" s="91">
        <f>Założenia!J273*Założenia!J297+Założenia!J285*Założenia!J301</f>
        <v>945987.3</v>
      </c>
      <c r="L93" s="91">
        <f>Założenia!K273*Założenia!K297+Założenia!K285*Założenia!K301</f>
        <v>945987.3</v>
      </c>
      <c r="M93" s="91">
        <f>Założenia!L273*Założenia!L297+Założenia!L285*Założenia!L301</f>
        <v>945987.3</v>
      </c>
      <c r="N93" s="91">
        <f>Założenia!M273*Założenia!M297+Założenia!M285*Założenia!M301</f>
        <v>945987.3</v>
      </c>
      <c r="O93" s="91">
        <f>Założenia!N273*Założenia!N297+Założenia!N285*Założenia!N301</f>
        <v>945987.3</v>
      </c>
      <c r="P93" s="91">
        <f>Założenia!O273*Założenia!O297+Założenia!O285*Założenia!O301</f>
        <v>945987.3</v>
      </c>
      <c r="Q93" s="91">
        <f>Założenia!P273*Założenia!P297+Założenia!P285*Założenia!P301</f>
        <v>945987.3</v>
      </c>
      <c r="R93" s="91">
        <f>Założenia!Q273*Założenia!Q297+Założenia!Q285*Założenia!Q301</f>
        <v>945987.3</v>
      </c>
      <c r="S93" s="91">
        <f>Założenia!R273*Założenia!R297+Założenia!R285*Założenia!R301</f>
        <v>945987.3</v>
      </c>
      <c r="T93" s="91">
        <f>Założenia!S273*Założenia!S297+Założenia!S285*Założenia!S301</f>
        <v>945987.3</v>
      </c>
      <c r="U93" s="11"/>
    </row>
    <row r="94" spans="1:21" s="23" customFormat="1">
      <c r="A94" s="82"/>
      <c r="B94" s="96" t="s">
        <v>156</v>
      </c>
      <c r="C94" s="175" t="s">
        <v>0</v>
      </c>
      <c r="D94" s="175"/>
      <c r="E94" s="91">
        <f>E92*E93</f>
        <v>491431.44846688071</v>
      </c>
      <c r="F94" s="91">
        <f t="shared" ref="F94:T94" si="21">F92*F93</f>
        <v>490494.3832028223</v>
      </c>
      <c r="G94" s="91">
        <f t="shared" si="21"/>
        <v>502390.56144717528</v>
      </c>
      <c r="H94" s="91">
        <f t="shared" si="21"/>
        <v>516120.52255204337</v>
      </c>
      <c r="I94" s="91">
        <f t="shared" si="21"/>
        <v>529619.50250012684</v>
      </c>
      <c r="J94" s="91">
        <f t="shared" si="21"/>
        <v>543551.17571275483</v>
      </c>
      <c r="K94" s="91">
        <f t="shared" si="21"/>
        <v>621504.67496384622</v>
      </c>
      <c r="L94" s="91">
        <f t="shared" si="21"/>
        <v>637538.13318455662</v>
      </c>
      <c r="M94" s="91">
        <f t="shared" si="21"/>
        <v>653563.55826171476</v>
      </c>
      <c r="N94" s="91">
        <f t="shared" si="21"/>
        <v>670095.44614274893</v>
      </c>
      <c r="O94" s="91">
        <f t="shared" si="21"/>
        <v>686607.29665030772</v>
      </c>
      <c r="P94" s="91">
        <f t="shared" si="21"/>
        <v>703620.79386087263</v>
      </c>
      <c r="Q94" s="91">
        <f t="shared" si="21"/>
        <v>720579.0459496812</v>
      </c>
      <c r="R94" s="91">
        <f t="shared" si="21"/>
        <v>737446.19796313217</v>
      </c>
      <c r="S94" s="91">
        <f t="shared" si="21"/>
        <v>754195.97216309293</v>
      </c>
      <c r="T94" s="91">
        <f t="shared" si="21"/>
        <v>770792.39643737231</v>
      </c>
      <c r="U94" s="11"/>
    </row>
    <row r="95" spans="1:21" s="23" customFormat="1">
      <c r="A95" s="82" t="s">
        <v>57</v>
      </c>
      <c r="B95" s="133" t="s">
        <v>230</v>
      </c>
      <c r="C95" s="175"/>
      <c r="D95" s="175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1"/>
    </row>
    <row r="96" spans="1:21" s="23" customFormat="1">
      <c r="A96" s="82"/>
      <c r="B96" s="96" t="s">
        <v>155</v>
      </c>
      <c r="C96" s="175" t="s">
        <v>142</v>
      </c>
      <c r="D96" s="175"/>
      <c r="E96" s="140">
        <f>Założenia!E26*(1-Założenia!$E$28)</f>
        <v>0.12058741578515288</v>
      </c>
      <c r="F96" s="140">
        <f>Założenia!F26*(1-Założenia!$E$28)</f>
        <v>0.12165801194302807</v>
      </c>
      <c r="G96" s="140">
        <f>Założenia!G26*(1-Założenia!$E$28)</f>
        <v>0.12460863776972469</v>
      </c>
      <c r="H96" s="140">
        <f>Założenia!H26*(1-Założenia!$E$28)</f>
        <v>0.12804898112997512</v>
      </c>
      <c r="I96" s="140">
        <f>Założenia!I26*(1-Założenia!$E$28)</f>
        <v>0.13139806444117355</v>
      </c>
      <c r="J96" s="140">
        <f>Założenia!J26*(1-Założenia!$E$28)</f>
        <v>0.13485449851492792</v>
      </c>
      <c r="K96" s="140">
        <f>Założenia!K26*(1-Założenia!$E$28)</f>
        <v>0.13831379075181333</v>
      </c>
      <c r="L96" s="140">
        <f>Założenia!L26*(1-Założenia!$E$28)</f>
        <v>0.14188198335711638</v>
      </c>
      <c r="M96" s="140">
        <f>Założenia!M26*(1-Założenia!$E$28)</f>
        <v>0.14544838821313755</v>
      </c>
      <c r="N96" s="140">
        <f>Założenia!N26*(1-Założenia!$E$28)</f>
        <v>0.14912750467552427</v>
      </c>
      <c r="O96" s="140">
        <f>Założenia!O26*(1-Założenia!$E$28)</f>
        <v>0.15280216188733134</v>
      </c>
      <c r="P96" s="140">
        <f>Założenia!P26*(1-Założenia!$E$28)</f>
        <v>0.15658845889833217</v>
      </c>
      <c r="Q96" s="140">
        <f>Założenia!Q26*(1-Założenia!$E$28)</f>
        <v>0.16036246129190132</v>
      </c>
      <c r="R96" s="140">
        <f>Założenia!R26*(1-Założenia!$E$28)</f>
        <v>0.16411618966780323</v>
      </c>
      <c r="S96" s="140">
        <f>Założenia!S26*(1-Założenia!$E$28)</f>
        <v>0.1678437960031349</v>
      </c>
      <c r="T96" s="140">
        <f>Założenia!T26*(1-Założenia!$E$28)</f>
        <v>0.1715372748244077</v>
      </c>
      <c r="U96" s="11"/>
    </row>
    <row r="97" spans="1:35" s="23" customFormat="1">
      <c r="A97" s="82"/>
      <c r="B97" s="96" t="s">
        <v>76</v>
      </c>
      <c r="C97" s="175" t="s">
        <v>134</v>
      </c>
      <c r="D97" s="175"/>
      <c r="E97" s="91">
        <f>Założenia!D277*Założenia!D299+Założenia!D287*Założenia!D302</f>
        <v>77471</v>
      </c>
      <c r="F97" s="91">
        <f>Założenia!E277*Założenia!E299+Założenia!E287*Założenia!E302</f>
        <v>77471</v>
      </c>
      <c r="G97" s="91">
        <f>Założenia!F277*Założenia!F299+Założenia!F287*Założenia!F302</f>
        <v>77471</v>
      </c>
      <c r="H97" s="91">
        <f>Założenia!G277*Założenia!G299+Założenia!G287*Założenia!G302</f>
        <v>77471</v>
      </c>
      <c r="I97" s="91">
        <f>Założenia!H277*Założenia!H299+Założenia!H287*Założenia!H302</f>
        <v>77471</v>
      </c>
      <c r="J97" s="91">
        <f>Założenia!I277*Założenia!I299+Założenia!I287*Założenia!I302</f>
        <v>77471</v>
      </c>
      <c r="K97" s="91">
        <f>Założenia!J277*Założenia!J299+Założenia!J287*Założenia!J302</f>
        <v>77471</v>
      </c>
      <c r="L97" s="91">
        <f>Założenia!K277*Założenia!K299+Założenia!K287*Założenia!K302</f>
        <v>77471</v>
      </c>
      <c r="M97" s="91">
        <f>Założenia!L277*Założenia!L299+Założenia!L287*Założenia!L302</f>
        <v>77471</v>
      </c>
      <c r="N97" s="91">
        <f>Założenia!M277*Założenia!M299+Założenia!M287*Założenia!M302</f>
        <v>77471</v>
      </c>
      <c r="O97" s="91">
        <f>Założenia!N277*Założenia!N299+Założenia!N287*Założenia!N302</f>
        <v>77471</v>
      </c>
      <c r="P97" s="91">
        <f>Założenia!O277*Założenia!O299+Założenia!O287*Założenia!O302</f>
        <v>77471</v>
      </c>
      <c r="Q97" s="91">
        <f>Założenia!P277*Założenia!P299+Założenia!P287*Założenia!P302</f>
        <v>77471</v>
      </c>
      <c r="R97" s="91">
        <f>Założenia!Q277*Założenia!Q299+Założenia!Q287*Założenia!Q302</f>
        <v>77471</v>
      </c>
      <c r="S97" s="91">
        <f>Założenia!R277*Założenia!R299+Założenia!R287*Założenia!R302</f>
        <v>77471</v>
      </c>
      <c r="T97" s="91">
        <f>Założenia!S277*Założenia!S299+Założenia!S287*Założenia!S302</f>
        <v>77471</v>
      </c>
      <c r="U97" s="11"/>
    </row>
    <row r="98" spans="1:35" s="23" customFormat="1">
      <c r="A98" s="82"/>
      <c r="B98" s="96" t="s">
        <v>156</v>
      </c>
      <c r="C98" s="175" t="s">
        <v>0</v>
      </c>
      <c r="D98" s="175"/>
      <c r="E98" s="91">
        <f>E96*E97</f>
        <v>9342.0276882915787</v>
      </c>
      <c r="F98" s="91">
        <f t="shared" ref="F98:T98" si="22">F96*F97</f>
        <v>9424.967843238328</v>
      </c>
      <c r="G98" s="91">
        <f t="shared" si="22"/>
        <v>9653.5557766583424</v>
      </c>
      <c r="H98" s="91">
        <f t="shared" si="22"/>
        <v>9920.0826171203025</v>
      </c>
      <c r="I98" s="91">
        <f t="shared" si="22"/>
        <v>10179.539450322156</v>
      </c>
      <c r="J98" s="91">
        <f t="shared" si="22"/>
        <v>10447.312854449981</v>
      </c>
      <c r="K98" s="91">
        <f t="shared" si="22"/>
        <v>10715.307683333731</v>
      </c>
      <c r="L98" s="91">
        <f t="shared" si="22"/>
        <v>10991.739132659162</v>
      </c>
      <c r="M98" s="91">
        <f t="shared" si="22"/>
        <v>11268.032083259979</v>
      </c>
      <c r="N98" s="91">
        <f t="shared" si="22"/>
        <v>11553.056914717541</v>
      </c>
      <c r="O98" s="91">
        <f t="shared" si="22"/>
        <v>11837.736283573446</v>
      </c>
      <c r="P98" s="91">
        <f t="shared" si="22"/>
        <v>12131.064499312692</v>
      </c>
      <c r="Q98" s="91">
        <f t="shared" si="22"/>
        <v>12423.440238744886</v>
      </c>
      <c r="R98" s="91">
        <f t="shared" si="22"/>
        <v>12714.245329754383</v>
      </c>
      <c r="S98" s="91">
        <f t="shared" si="22"/>
        <v>13003.026720158863</v>
      </c>
      <c r="T98" s="91">
        <f t="shared" si="22"/>
        <v>13289.164217921689</v>
      </c>
      <c r="U98" s="11"/>
    </row>
    <row r="99" spans="1:35">
      <c r="A99" s="82"/>
      <c r="B99" s="98"/>
      <c r="C99" s="71"/>
      <c r="D99" s="71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1"/>
    </row>
    <row r="100" spans="1:35" s="1" customFormat="1" ht="12">
      <c r="A100" s="227" t="s">
        <v>26</v>
      </c>
      <c r="B100" s="81" t="s">
        <v>228</v>
      </c>
    </row>
    <row r="101" spans="1:35">
      <c r="A101" s="82" t="s">
        <v>33</v>
      </c>
      <c r="B101" s="96" t="s">
        <v>80</v>
      </c>
      <c r="C101" s="175" t="s">
        <v>0</v>
      </c>
      <c r="D101" s="252">
        <f t="shared" ref="D101:D107" si="23">SUM(E101:T101)</f>
        <v>21960000</v>
      </c>
      <c r="E101" s="33">
        <f>E102+E103</f>
        <v>0</v>
      </c>
      <c r="F101" s="33">
        <f t="shared" ref="F101:T101" si="24">F102+F103</f>
        <v>0</v>
      </c>
      <c r="G101" s="33">
        <f t="shared" si="24"/>
        <v>11560000</v>
      </c>
      <c r="H101" s="33">
        <f t="shared" si="24"/>
        <v>0</v>
      </c>
      <c r="I101" s="33">
        <f t="shared" si="24"/>
        <v>0</v>
      </c>
      <c r="J101" s="33">
        <f t="shared" si="24"/>
        <v>600000</v>
      </c>
      <c r="K101" s="33">
        <f t="shared" si="24"/>
        <v>0</v>
      </c>
      <c r="L101" s="33">
        <f t="shared" si="24"/>
        <v>-600000</v>
      </c>
      <c r="M101" s="33">
        <f t="shared" si="24"/>
        <v>0</v>
      </c>
      <c r="N101" s="33">
        <f t="shared" si="24"/>
        <v>-4200000</v>
      </c>
      <c r="O101" s="33">
        <f t="shared" si="24"/>
        <v>8020000</v>
      </c>
      <c r="P101" s="33">
        <f t="shared" si="24"/>
        <v>0</v>
      </c>
      <c r="Q101" s="33">
        <f t="shared" si="24"/>
        <v>3040000</v>
      </c>
      <c r="R101" s="33">
        <f t="shared" si="24"/>
        <v>0</v>
      </c>
      <c r="S101" s="33">
        <f t="shared" si="24"/>
        <v>4140000</v>
      </c>
      <c r="T101" s="33">
        <f t="shared" si="24"/>
        <v>-600000</v>
      </c>
      <c r="U101" s="1"/>
    </row>
    <row r="102" spans="1:35" s="36" customFormat="1" ht="12">
      <c r="A102" s="82"/>
      <c r="B102" s="96" t="s">
        <v>219</v>
      </c>
      <c r="C102" s="175" t="s">
        <v>0</v>
      </c>
      <c r="D102" s="252">
        <f t="shared" si="23"/>
        <v>21960000</v>
      </c>
      <c r="E102" s="26">
        <f>Opcje!E44-'Scenariusz bazowy'!E102</f>
        <v>0</v>
      </c>
      <c r="F102" s="26">
        <f>Opcje!F44-'Scenariusz bazowy'!F102</f>
        <v>0</v>
      </c>
      <c r="G102" s="26">
        <f>Opcje!G44-'Scenariusz bazowy'!G102</f>
        <v>11560000</v>
      </c>
      <c r="H102" s="26">
        <f>Opcje!H44-'Scenariusz bazowy'!H102</f>
        <v>0</v>
      </c>
      <c r="I102" s="26">
        <f>Opcje!I44-'Scenariusz bazowy'!I102</f>
        <v>0</v>
      </c>
      <c r="J102" s="26">
        <f>Opcje!J44-'Scenariusz bazowy'!J102</f>
        <v>600000</v>
      </c>
      <c r="K102" s="26">
        <f>Opcje!K44-'Scenariusz bazowy'!K102</f>
        <v>0</v>
      </c>
      <c r="L102" s="26">
        <f>Opcje!L44-'Scenariusz bazowy'!L102</f>
        <v>-600000</v>
      </c>
      <c r="M102" s="26">
        <f>Opcje!M44-'Scenariusz bazowy'!M102</f>
        <v>0</v>
      </c>
      <c r="N102" s="26">
        <f>Opcje!N44-'Scenariusz bazowy'!N102</f>
        <v>-4200000</v>
      </c>
      <c r="O102" s="26">
        <f>Opcje!O44-'Scenariusz bazowy'!O102</f>
        <v>8020000</v>
      </c>
      <c r="P102" s="26">
        <f>Opcje!P44-'Scenariusz bazowy'!P102</f>
        <v>0</v>
      </c>
      <c r="Q102" s="26">
        <f>Opcje!Q44-'Scenariusz bazowy'!Q102</f>
        <v>3040000</v>
      </c>
      <c r="R102" s="26">
        <f>Opcje!R44-'Scenariusz bazowy'!R102</f>
        <v>0</v>
      </c>
      <c r="S102" s="26">
        <f>Opcje!S44-'Scenariusz bazowy'!S102</f>
        <v>4140000</v>
      </c>
      <c r="T102" s="26">
        <f>Opcje!T44-'Scenariusz bazowy'!T102</f>
        <v>-600000</v>
      </c>
      <c r="U102" s="1"/>
    </row>
    <row r="103" spans="1:35" s="24" customFormat="1" ht="12">
      <c r="A103" s="82"/>
      <c r="B103" s="96" t="s">
        <v>220</v>
      </c>
      <c r="C103" s="175" t="s">
        <v>0</v>
      </c>
      <c r="D103" s="252">
        <f t="shared" si="23"/>
        <v>0</v>
      </c>
      <c r="E103" s="26">
        <f>Opcje!E45-'Scenariusz bazowy'!E103</f>
        <v>0</v>
      </c>
      <c r="F103" s="26">
        <f>Opcje!F45-'Scenariusz bazowy'!F103</f>
        <v>0</v>
      </c>
      <c r="G103" s="26">
        <f>Opcje!G45-'Scenariusz bazowy'!G103</f>
        <v>0</v>
      </c>
      <c r="H103" s="26">
        <f>Opcje!H45-'Scenariusz bazowy'!H103</f>
        <v>0</v>
      </c>
      <c r="I103" s="26">
        <f>Opcje!I45-'Scenariusz bazowy'!I103</f>
        <v>0</v>
      </c>
      <c r="J103" s="26">
        <f>Opcje!J45-'Scenariusz bazowy'!J103</f>
        <v>0</v>
      </c>
      <c r="K103" s="26">
        <f>Opcje!K45-'Scenariusz bazowy'!K103</f>
        <v>0</v>
      </c>
      <c r="L103" s="26">
        <f>Opcje!L45-'Scenariusz bazowy'!L103</f>
        <v>0</v>
      </c>
      <c r="M103" s="26">
        <f>Opcje!M45-'Scenariusz bazowy'!M103</f>
        <v>0</v>
      </c>
      <c r="N103" s="26">
        <f>Opcje!N45-'Scenariusz bazowy'!N103</f>
        <v>0</v>
      </c>
      <c r="O103" s="26">
        <f>Opcje!O45-'Scenariusz bazowy'!O103</f>
        <v>0</v>
      </c>
      <c r="P103" s="26">
        <f>Opcje!P45-'Scenariusz bazowy'!P103</f>
        <v>0</v>
      </c>
      <c r="Q103" s="26">
        <f>Opcje!Q45-'Scenariusz bazowy'!Q103</f>
        <v>0</v>
      </c>
      <c r="R103" s="26">
        <f>Opcje!R45-'Scenariusz bazowy'!R103</f>
        <v>0</v>
      </c>
      <c r="S103" s="26">
        <f>Opcje!S45-'Scenariusz bazowy'!S103</f>
        <v>0</v>
      </c>
      <c r="T103" s="26">
        <f>Opcje!T45-'Scenariusz bazowy'!T103</f>
        <v>0</v>
      </c>
      <c r="U103" s="1"/>
    </row>
    <row r="104" spans="1:35" s="36" customFormat="1" ht="12">
      <c r="A104" s="82" t="s">
        <v>34</v>
      </c>
      <c r="B104" s="96" t="s">
        <v>221</v>
      </c>
      <c r="C104" s="175" t="s">
        <v>0</v>
      </c>
      <c r="D104" s="252">
        <f t="shared" si="23"/>
        <v>0</v>
      </c>
      <c r="E104" s="33">
        <f>E105+E107+E106</f>
        <v>0</v>
      </c>
      <c r="F104" s="33">
        <f t="shared" ref="F104:T104" si="25">F105+F107+F106</f>
        <v>0</v>
      </c>
      <c r="G104" s="33">
        <f t="shared" si="25"/>
        <v>0</v>
      </c>
      <c r="H104" s="33">
        <f t="shared" si="25"/>
        <v>0</v>
      </c>
      <c r="I104" s="33">
        <f t="shared" si="25"/>
        <v>0</v>
      </c>
      <c r="J104" s="33">
        <f t="shared" si="25"/>
        <v>150000</v>
      </c>
      <c r="K104" s="33">
        <f t="shared" si="25"/>
        <v>0</v>
      </c>
      <c r="L104" s="33">
        <f t="shared" si="25"/>
        <v>0</v>
      </c>
      <c r="M104" s="33">
        <f t="shared" si="25"/>
        <v>0</v>
      </c>
      <c r="N104" s="33">
        <f t="shared" si="25"/>
        <v>0</v>
      </c>
      <c r="O104" s="33">
        <f t="shared" si="25"/>
        <v>0</v>
      </c>
      <c r="P104" s="33">
        <f t="shared" si="25"/>
        <v>0</v>
      </c>
      <c r="Q104" s="33">
        <f t="shared" si="25"/>
        <v>-150000</v>
      </c>
      <c r="R104" s="33">
        <f t="shared" si="25"/>
        <v>0</v>
      </c>
      <c r="S104" s="33">
        <f t="shared" si="25"/>
        <v>0</v>
      </c>
      <c r="T104" s="33">
        <f t="shared" si="25"/>
        <v>0</v>
      </c>
      <c r="U104" s="1"/>
    </row>
    <row r="105" spans="1:35">
      <c r="A105" s="82"/>
      <c r="B105" s="96" t="s">
        <v>219</v>
      </c>
      <c r="C105" s="175" t="s">
        <v>0</v>
      </c>
      <c r="D105" s="252">
        <f t="shared" si="23"/>
        <v>0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26"/>
      <c r="S105" s="26"/>
      <c r="T105" s="26"/>
      <c r="U105" s="1"/>
    </row>
    <row r="106" spans="1:35">
      <c r="A106" s="82"/>
      <c r="B106" s="96" t="s">
        <v>245</v>
      </c>
      <c r="C106" s="175" t="s">
        <v>0</v>
      </c>
      <c r="D106" s="252">
        <f t="shared" si="23"/>
        <v>0</v>
      </c>
      <c r="E106" s="26">
        <f>Opcje!E46-'Scenariusz bazowy'!E107</f>
        <v>0</v>
      </c>
      <c r="F106" s="26">
        <f>Opcje!F46-'Scenariusz bazowy'!F107</f>
        <v>0</v>
      </c>
      <c r="G106" s="26">
        <f>Opcje!G46-'Scenariusz bazowy'!G107</f>
        <v>0</v>
      </c>
      <c r="H106" s="26">
        <f>Opcje!H46-'Scenariusz bazowy'!H107</f>
        <v>0</v>
      </c>
      <c r="I106" s="26">
        <f>Opcje!I46-'Scenariusz bazowy'!I107</f>
        <v>0</v>
      </c>
      <c r="J106" s="26">
        <f>Opcje!J46-'Scenariusz bazowy'!J107</f>
        <v>150000</v>
      </c>
      <c r="K106" s="26">
        <f>Opcje!K46-'Scenariusz bazowy'!K107</f>
        <v>0</v>
      </c>
      <c r="L106" s="26">
        <f>Opcje!L46-'Scenariusz bazowy'!L107</f>
        <v>0</v>
      </c>
      <c r="M106" s="26">
        <f>Opcje!M46-'Scenariusz bazowy'!M107</f>
        <v>0</v>
      </c>
      <c r="N106" s="26">
        <f>Opcje!N46-'Scenariusz bazowy'!N107</f>
        <v>0</v>
      </c>
      <c r="O106" s="26">
        <f>Opcje!O46-'Scenariusz bazowy'!O107</f>
        <v>0</v>
      </c>
      <c r="P106" s="26">
        <f>Opcje!P46-'Scenariusz bazowy'!P107</f>
        <v>0</v>
      </c>
      <c r="Q106" s="26">
        <f>Opcje!Q46-'Scenariusz bazowy'!Q107</f>
        <v>-150000</v>
      </c>
      <c r="R106" s="26">
        <f>Opcje!R46-'Scenariusz bazowy'!R107</f>
        <v>0</v>
      </c>
      <c r="S106" s="26">
        <f>Opcje!S46-'Scenariusz bazowy'!S107</f>
        <v>0</v>
      </c>
      <c r="T106" s="26">
        <f>Opcje!T46-'Scenariusz bazowy'!T107</f>
        <v>0</v>
      </c>
      <c r="U106" s="1"/>
    </row>
    <row r="107" spans="1:35" s="36" customFormat="1" ht="12">
      <c r="A107" s="82"/>
      <c r="B107" s="96" t="s">
        <v>220</v>
      </c>
      <c r="C107" s="175" t="s">
        <v>0</v>
      </c>
      <c r="D107" s="252">
        <f t="shared" si="23"/>
        <v>0</v>
      </c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1"/>
    </row>
    <row r="108" spans="1:35">
      <c r="A108" s="1"/>
      <c r="B108" s="86"/>
      <c r="C108" s="71"/>
      <c r="D108" s="82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1"/>
    </row>
    <row r="109" spans="1:35" s="36" customFormat="1" ht="12">
      <c r="A109" s="82"/>
      <c r="B109" s="144"/>
      <c r="C109" s="71"/>
      <c r="D109" s="143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1"/>
    </row>
    <row r="110" spans="1:35" s="1" customFormat="1" ht="12">
      <c r="A110" s="82"/>
      <c r="B110" s="158"/>
      <c r="C110" s="272"/>
      <c r="D110" s="273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</row>
    <row r="111" spans="1:35" s="1" customFormat="1" ht="12">
      <c r="A111" s="82"/>
      <c r="B111" s="158"/>
      <c r="C111" s="272"/>
      <c r="D111" s="273"/>
      <c r="E111" s="274">
        <v>1</v>
      </c>
      <c r="F111" s="274">
        <f>E111+1</f>
        <v>2</v>
      </c>
      <c r="G111" s="274">
        <f t="shared" ref="G111:T112" si="26">F111+1</f>
        <v>3</v>
      </c>
      <c r="H111" s="274">
        <f t="shared" si="26"/>
        <v>4</v>
      </c>
      <c r="I111" s="274">
        <f t="shared" si="26"/>
        <v>5</v>
      </c>
      <c r="J111" s="274">
        <f t="shared" si="26"/>
        <v>6</v>
      </c>
      <c r="K111" s="274">
        <f t="shared" si="26"/>
        <v>7</v>
      </c>
      <c r="L111" s="274">
        <f t="shared" si="26"/>
        <v>8</v>
      </c>
      <c r="M111" s="274">
        <f t="shared" si="26"/>
        <v>9</v>
      </c>
      <c r="N111" s="274">
        <f t="shared" si="26"/>
        <v>10</v>
      </c>
      <c r="O111" s="274">
        <f t="shared" si="26"/>
        <v>11</v>
      </c>
      <c r="P111" s="274">
        <f t="shared" si="26"/>
        <v>12</v>
      </c>
      <c r="Q111" s="274">
        <f t="shared" si="26"/>
        <v>13</v>
      </c>
      <c r="R111" s="274">
        <f t="shared" si="26"/>
        <v>14</v>
      </c>
      <c r="S111" s="274">
        <f t="shared" si="26"/>
        <v>15</v>
      </c>
      <c r="T111" s="274">
        <f t="shared" si="26"/>
        <v>16</v>
      </c>
      <c r="U111" s="274"/>
      <c r="V111" s="192"/>
      <c r="W111" s="192"/>
      <c r="X111" s="192"/>
      <c r="Y111" s="192"/>
      <c r="Z111" s="192"/>
      <c r="AA111" s="192"/>
      <c r="AB111" s="192"/>
      <c r="AC111" s="192"/>
      <c r="AD111" s="192"/>
      <c r="AE111" s="192"/>
      <c r="AF111" s="192"/>
      <c r="AG111" s="192"/>
      <c r="AH111" s="192"/>
      <c r="AI111" s="159"/>
    </row>
    <row r="112" spans="1:35" s="1" customFormat="1">
      <c r="A112" s="227" t="s">
        <v>250</v>
      </c>
      <c r="B112" s="81" t="s">
        <v>358</v>
      </c>
      <c r="C112" s="272"/>
      <c r="D112" s="273"/>
      <c r="E112" s="250">
        <f>T5+1</f>
        <v>2040</v>
      </c>
      <c r="F112" s="250">
        <f>E112+1</f>
        <v>2041</v>
      </c>
      <c r="G112" s="250">
        <f t="shared" si="26"/>
        <v>2042</v>
      </c>
      <c r="H112" s="250">
        <f t="shared" si="26"/>
        <v>2043</v>
      </c>
      <c r="I112" s="250">
        <f t="shared" si="26"/>
        <v>2044</v>
      </c>
      <c r="J112" s="250">
        <f t="shared" si="26"/>
        <v>2045</v>
      </c>
      <c r="K112" s="250">
        <f t="shared" si="26"/>
        <v>2046</v>
      </c>
      <c r="L112" s="250">
        <f t="shared" si="26"/>
        <v>2047</v>
      </c>
      <c r="M112" s="250">
        <f t="shared" si="26"/>
        <v>2048</v>
      </c>
      <c r="N112" s="250">
        <f t="shared" si="26"/>
        <v>2049</v>
      </c>
      <c r="O112" s="250">
        <f t="shared" si="26"/>
        <v>2050</v>
      </c>
      <c r="P112" s="250">
        <f t="shared" si="26"/>
        <v>2051</v>
      </c>
      <c r="Q112" s="250">
        <f t="shared" si="26"/>
        <v>2052</v>
      </c>
      <c r="R112" s="250">
        <f t="shared" si="26"/>
        <v>2053</v>
      </c>
      <c r="S112" s="250">
        <f t="shared" si="26"/>
        <v>2054</v>
      </c>
      <c r="T112" s="250">
        <f t="shared" si="26"/>
        <v>2055</v>
      </c>
      <c r="U112" s="250"/>
      <c r="V112" s="193"/>
      <c r="W112" s="193"/>
      <c r="X112" s="193"/>
      <c r="Y112" s="193"/>
      <c r="Z112" s="193"/>
      <c r="AA112" s="193"/>
      <c r="AB112" s="193"/>
      <c r="AC112" s="193"/>
      <c r="AD112" s="193"/>
      <c r="AE112" s="193"/>
      <c r="AF112" s="193"/>
      <c r="AG112" s="193"/>
      <c r="AH112" s="193"/>
      <c r="AI112" s="148"/>
    </row>
    <row r="113" spans="1:34" s="1" customFormat="1" ht="12">
      <c r="A113" s="82" t="s">
        <v>33</v>
      </c>
      <c r="B113" s="97" t="s">
        <v>168</v>
      </c>
      <c r="C113" s="253" t="s">
        <v>147</v>
      </c>
      <c r="D113" s="275">
        <f>Założenia!$E$6</f>
        <v>2024</v>
      </c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</row>
    <row r="114" spans="1:34" s="1" customFormat="1" ht="12">
      <c r="A114" s="82" t="s">
        <v>34</v>
      </c>
      <c r="B114" s="97" t="s">
        <v>169</v>
      </c>
      <c r="C114" s="253" t="s">
        <v>147</v>
      </c>
      <c r="D114" s="275">
        <f>Założenia!$E$8</f>
        <v>2039</v>
      </c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</row>
    <row r="115" spans="1:34" s="1" customFormat="1" ht="12">
      <c r="A115" s="82" t="s">
        <v>29</v>
      </c>
      <c r="B115" s="97" t="s">
        <v>3</v>
      </c>
      <c r="C115" s="253" t="s">
        <v>27</v>
      </c>
      <c r="D115" s="252">
        <f>Założenia!$E$9</f>
        <v>15</v>
      </c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</row>
    <row r="116" spans="1:34" s="1" customFormat="1" ht="12">
      <c r="A116" s="82" t="s">
        <v>35</v>
      </c>
      <c r="B116" s="134" t="s">
        <v>171</v>
      </c>
      <c r="C116" s="253" t="s">
        <v>27</v>
      </c>
      <c r="D116" s="254">
        <f>D148</f>
        <v>12</v>
      </c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</row>
    <row r="117" spans="1:34" s="1" customFormat="1" ht="12">
      <c r="A117" s="82" t="s">
        <v>36</v>
      </c>
      <c r="B117" s="134" t="s">
        <v>172</v>
      </c>
      <c r="C117" s="253" t="s">
        <v>0</v>
      </c>
      <c r="D117" s="254"/>
      <c r="E117" s="20">
        <f>IF(E148&gt;0,(-$T$127-AVERAGE($E$131:$T$131)),0)</f>
        <v>290197.35720648244</v>
      </c>
      <c r="F117" s="20">
        <f t="shared" ref="F117:T117" si="27">IF(F148&gt;0,(-$T$127-AVERAGE($E$131:$T$131)),0)</f>
        <v>290197.35720648244</v>
      </c>
      <c r="G117" s="20">
        <f t="shared" si="27"/>
        <v>290197.35720648244</v>
      </c>
      <c r="H117" s="20">
        <f t="shared" si="27"/>
        <v>290197.35720648244</v>
      </c>
      <c r="I117" s="20">
        <f t="shared" si="27"/>
        <v>290197.35720648244</v>
      </c>
      <c r="J117" s="20">
        <f t="shared" si="27"/>
        <v>290197.35720648244</v>
      </c>
      <c r="K117" s="20">
        <f t="shared" si="27"/>
        <v>290197.35720648244</v>
      </c>
      <c r="L117" s="20">
        <f t="shared" si="27"/>
        <v>290197.35720648244</v>
      </c>
      <c r="M117" s="20">
        <f t="shared" si="27"/>
        <v>290197.35720648244</v>
      </c>
      <c r="N117" s="20">
        <f t="shared" si="27"/>
        <v>290197.35720648244</v>
      </c>
      <c r="O117" s="20">
        <f t="shared" si="27"/>
        <v>290197.35720648244</v>
      </c>
      <c r="P117" s="20">
        <f t="shared" si="27"/>
        <v>290197.35720648244</v>
      </c>
      <c r="Q117" s="20">
        <f t="shared" si="27"/>
        <v>0</v>
      </c>
      <c r="R117" s="20">
        <f t="shared" si="27"/>
        <v>0</v>
      </c>
      <c r="S117" s="20">
        <f t="shared" si="27"/>
        <v>0</v>
      </c>
      <c r="T117" s="20">
        <f t="shared" si="27"/>
        <v>0</v>
      </c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</row>
    <row r="118" spans="1:34" s="1" customFormat="1" ht="12">
      <c r="A118" s="82" t="s">
        <v>37</v>
      </c>
      <c r="B118" s="134" t="s">
        <v>173</v>
      </c>
      <c r="C118" s="253" t="s">
        <v>0</v>
      </c>
      <c r="D118" s="254"/>
      <c r="E118" s="20">
        <f>E117/(1+Założenia!$E$16)^E111</f>
        <v>279035.92039084848</v>
      </c>
      <c r="F118" s="20">
        <f>F117/(1+Założenia!$E$16)^F111</f>
        <v>268303.76960658509</v>
      </c>
      <c r="G118" s="20">
        <f>G117/(1+Założenia!$E$16)^G111</f>
        <v>257984.39385248566</v>
      </c>
      <c r="H118" s="20">
        <f>H117/(1+Założenia!$E$16)^H111</f>
        <v>248061.91716585157</v>
      </c>
      <c r="I118" s="20">
        <f>I117/(1+Założenia!$E$16)^I111</f>
        <v>238521.07419793415</v>
      </c>
      <c r="J118" s="20">
        <f>J117/(1+Założenia!$E$16)^J111</f>
        <v>229347.18672878286</v>
      </c>
      <c r="K118" s="20">
        <f>K117/(1+Założenia!$E$16)^K111</f>
        <v>220526.14108536814</v>
      </c>
      <c r="L118" s="20">
        <f>L117/(1+Założenia!$E$16)^L111</f>
        <v>212044.36642823857</v>
      </c>
      <c r="M118" s="20">
        <f>M117/(1+Założenia!$E$16)^M111</f>
        <v>203888.8138733063</v>
      </c>
      <c r="N118" s="20">
        <f>N117/(1+Założenia!$E$16)^N111</f>
        <v>196046.93641664067</v>
      </c>
      <c r="O118" s="20">
        <f>O117/(1+Założenia!$E$16)^O111</f>
        <v>188506.66963138527</v>
      </c>
      <c r="P118" s="20">
        <f>P117/(1+Założenia!$E$16)^P111</f>
        <v>181256.41310710119</v>
      </c>
      <c r="Q118" s="20">
        <f>Q117/(1+Założenia!$E$16)^Q111</f>
        <v>0</v>
      </c>
      <c r="R118" s="20">
        <f>R117/(1+Założenia!$E$16)^R111</f>
        <v>0</v>
      </c>
      <c r="S118" s="20">
        <f>S117/(1+Założenia!$E$16)^S111</f>
        <v>0</v>
      </c>
      <c r="T118" s="20">
        <f>T117/(1+Założenia!$E$16)^T111</f>
        <v>0</v>
      </c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</row>
    <row r="119" spans="1:34" s="1" customFormat="1" ht="12">
      <c r="A119" s="82" t="s">
        <v>38</v>
      </c>
      <c r="B119" s="134" t="s">
        <v>174</v>
      </c>
      <c r="C119" s="253" t="s">
        <v>0</v>
      </c>
      <c r="D119" s="254">
        <f>SUM(E118:AH118)</f>
        <v>2723523.6024845284</v>
      </c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</row>
    <row r="120" spans="1:34" s="23" customFormat="1">
      <c r="A120" s="11"/>
      <c r="B120" s="276"/>
      <c r="C120" s="4"/>
      <c r="D120" s="4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11"/>
    </row>
    <row r="121" spans="1:34" s="23" customFormat="1">
      <c r="A121" s="11"/>
      <c r="B121" s="276"/>
      <c r="C121" s="4"/>
      <c r="D121" s="4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11"/>
    </row>
    <row r="122" spans="1:34" s="1" customFormat="1" ht="12">
      <c r="A122" s="227" t="s">
        <v>251</v>
      </c>
      <c r="B122" s="81" t="s">
        <v>222</v>
      </c>
      <c r="E122" s="274">
        <v>0</v>
      </c>
      <c r="F122" s="274">
        <f>E122+1</f>
        <v>1</v>
      </c>
      <c r="G122" s="274">
        <f t="shared" ref="G122:T122" si="28">F122+1</f>
        <v>2</v>
      </c>
      <c r="H122" s="274">
        <f t="shared" si="28"/>
        <v>3</v>
      </c>
      <c r="I122" s="274">
        <f t="shared" si="28"/>
        <v>4</v>
      </c>
      <c r="J122" s="274">
        <f t="shared" si="28"/>
        <v>5</v>
      </c>
      <c r="K122" s="274">
        <f t="shared" si="28"/>
        <v>6</v>
      </c>
      <c r="L122" s="274">
        <f t="shared" si="28"/>
        <v>7</v>
      </c>
      <c r="M122" s="274">
        <f t="shared" si="28"/>
        <v>8</v>
      </c>
      <c r="N122" s="274">
        <f t="shared" si="28"/>
        <v>9</v>
      </c>
      <c r="O122" s="274">
        <f t="shared" si="28"/>
        <v>10</v>
      </c>
      <c r="P122" s="274">
        <f t="shared" si="28"/>
        <v>11</v>
      </c>
      <c r="Q122" s="274">
        <f t="shared" si="28"/>
        <v>12</v>
      </c>
      <c r="R122" s="274">
        <f t="shared" si="28"/>
        <v>13</v>
      </c>
      <c r="S122" s="274">
        <f t="shared" si="28"/>
        <v>14</v>
      </c>
      <c r="T122" s="274">
        <f t="shared" si="28"/>
        <v>15</v>
      </c>
    </row>
    <row r="123" spans="1:34" s="23" customFormat="1">
      <c r="A123" s="37" t="s">
        <v>33</v>
      </c>
      <c r="B123" s="101" t="s">
        <v>83</v>
      </c>
      <c r="C123" s="253" t="s">
        <v>0</v>
      </c>
      <c r="D123" s="253"/>
      <c r="E123" s="33">
        <f>E124+E125</f>
        <v>0</v>
      </c>
      <c r="F123" s="33">
        <f t="shared" ref="F123:T123" si="29">F124+F125</f>
        <v>0</v>
      </c>
      <c r="G123" s="33">
        <f t="shared" si="29"/>
        <v>0</v>
      </c>
      <c r="H123" s="33">
        <f t="shared" si="29"/>
        <v>0</v>
      </c>
      <c r="I123" s="33">
        <f t="shared" si="29"/>
        <v>0</v>
      </c>
      <c r="J123" s="33">
        <f t="shared" si="29"/>
        <v>0</v>
      </c>
      <c r="K123" s="33">
        <f t="shared" si="29"/>
        <v>0</v>
      </c>
      <c r="L123" s="33">
        <f t="shared" si="29"/>
        <v>0</v>
      </c>
      <c r="M123" s="33">
        <f t="shared" si="29"/>
        <v>0</v>
      </c>
      <c r="N123" s="33">
        <f t="shared" si="29"/>
        <v>0</v>
      </c>
      <c r="O123" s="33">
        <f t="shared" si="29"/>
        <v>0</v>
      </c>
      <c r="P123" s="33">
        <f t="shared" si="29"/>
        <v>0</v>
      </c>
      <c r="Q123" s="33">
        <f t="shared" si="29"/>
        <v>0</v>
      </c>
      <c r="R123" s="33">
        <f t="shared" si="29"/>
        <v>0</v>
      </c>
      <c r="S123" s="33">
        <f t="shared" si="29"/>
        <v>0</v>
      </c>
      <c r="T123" s="33">
        <f t="shared" si="29"/>
        <v>2723523.6024845284</v>
      </c>
      <c r="U123" s="11"/>
    </row>
    <row r="124" spans="1:34" s="23" customFormat="1">
      <c r="A124" s="82" t="s">
        <v>42</v>
      </c>
      <c r="B124" s="95" t="s">
        <v>304</v>
      </c>
      <c r="C124" s="175" t="s">
        <v>0</v>
      </c>
      <c r="D124" s="253"/>
      <c r="E124" s="33">
        <f>E9-'Scenariusz bazowy'!E9</f>
        <v>0</v>
      </c>
      <c r="F124" s="33">
        <f>F9-'Scenariusz bazowy'!F9</f>
        <v>0</v>
      </c>
      <c r="G124" s="33">
        <f>G9-'Scenariusz bazowy'!G9</f>
        <v>0</v>
      </c>
      <c r="H124" s="33">
        <f>H9-'Scenariusz bazowy'!H9</f>
        <v>0</v>
      </c>
      <c r="I124" s="33">
        <f>I9-'Scenariusz bazowy'!I9</f>
        <v>0</v>
      </c>
      <c r="J124" s="33">
        <f>J9-'Scenariusz bazowy'!J9</f>
        <v>0</v>
      </c>
      <c r="K124" s="33">
        <f>K9-'Scenariusz bazowy'!K9</f>
        <v>0</v>
      </c>
      <c r="L124" s="33">
        <f>L9-'Scenariusz bazowy'!L9</f>
        <v>0</v>
      </c>
      <c r="M124" s="33">
        <f>M9-'Scenariusz bazowy'!M9</f>
        <v>0</v>
      </c>
      <c r="N124" s="33">
        <f>N9-'Scenariusz bazowy'!N9</f>
        <v>0</v>
      </c>
      <c r="O124" s="33">
        <f>O9-'Scenariusz bazowy'!O9</f>
        <v>0</v>
      </c>
      <c r="P124" s="33">
        <f>P9-'Scenariusz bazowy'!P9</f>
        <v>0</v>
      </c>
      <c r="Q124" s="33">
        <f>Q9-'Scenariusz bazowy'!Q9</f>
        <v>0</v>
      </c>
      <c r="R124" s="33">
        <f>R9-'Scenariusz bazowy'!R9</f>
        <v>0</v>
      </c>
      <c r="S124" s="33">
        <f>S9-'Scenariusz bazowy'!S9</f>
        <v>0</v>
      </c>
      <c r="T124" s="33">
        <f>T9-'Scenariusz bazowy'!T9</f>
        <v>0</v>
      </c>
      <c r="U124" s="11"/>
    </row>
    <row r="125" spans="1:34" s="1" customFormat="1" ht="12">
      <c r="A125" s="82" t="s">
        <v>43</v>
      </c>
      <c r="B125" s="95" t="s">
        <v>282</v>
      </c>
      <c r="C125" s="175" t="s">
        <v>0</v>
      </c>
      <c r="D125" s="175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>
        <f>IF(D119&gt;0,D119,0)</f>
        <v>2723523.6024845284</v>
      </c>
    </row>
    <row r="126" spans="1:34" s="11" customFormat="1" ht="12">
      <c r="A126" s="37" t="s">
        <v>34</v>
      </c>
      <c r="B126" s="101" t="s">
        <v>84</v>
      </c>
      <c r="C126" s="253" t="s">
        <v>0</v>
      </c>
      <c r="D126" s="253"/>
      <c r="E126" s="19">
        <f>E127+E128+E131</f>
        <v>0</v>
      </c>
      <c r="F126" s="19">
        <f t="shared" ref="F126:T126" si="30">F127+F128+F131</f>
        <v>0</v>
      </c>
      <c r="G126" s="19">
        <f t="shared" si="30"/>
        <v>11505556.289526686</v>
      </c>
      <c r="H126" s="19">
        <f t="shared" si="30"/>
        <v>-226663.5611645719</v>
      </c>
      <c r="I126" s="19">
        <f t="shared" si="30"/>
        <v>-229137.60114074685</v>
      </c>
      <c r="J126" s="19">
        <f t="shared" si="30"/>
        <v>518388.35888307821</v>
      </c>
      <c r="K126" s="19">
        <f t="shared" si="30"/>
        <v>-258245.16980507225</v>
      </c>
      <c r="L126" s="19">
        <f t="shared" si="30"/>
        <v>-837315.37151932623</v>
      </c>
      <c r="M126" s="19">
        <f t="shared" si="30"/>
        <v>-240073.47545050457</v>
      </c>
      <c r="N126" s="19">
        <f t="shared" si="30"/>
        <v>-4243232.8576283082</v>
      </c>
      <c r="O126" s="19">
        <f t="shared" si="30"/>
        <v>7974009.0384405134</v>
      </c>
      <c r="P126" s="19">
        <f t="shared" si="30"/>
        <v>-250145.83122898452</v>
      </c>
      <c r="Q126" s="19">
        <f t="shared" si="30"/>
        <v>2695906.4024993135</v>
      </c>
      <c r="R126" s="19">
        <f t="shared" si="30"/>
        <v>-253766.69862732943</v>
      </c>
      <c r="S126" s="19">
        <f t="shared" si="30"/>
        <v>3883475.1974414922</v>
      </c>
      <c r="T126" s="19">
        <f t="shared" si="30"/>
        <v>-890197.35720648244</v>
      </c>
    </row>
    <row r="127" spans="1:34" s="1" customFormat="1" ht="12">
      <c r="A127" s="82" t="s">
        <v>48</v>
      </c>
      <c r="B127" s="95" t="s">
        <v>283</v>
      </c>
      <c r="C127" s="175" t="s">
        <v>0</v>
      </c>
      <c r="D127" s="175"/>
      <c r="E127" s="20">
        <f>E10-'Scenariusz bazowy'!E10</f>
        <v>0</v>
      </c>
      <c r="F127" s="20">
        <f>F10-'Scenariusz bazowy'!F10</f>
        <v>0</v>
      </c>
      <c r="G127" s="20">
        <f>G10-'Scenariusz bazowy'!G10</f>
        <v>-54443.710473313928</v>
      </c>
      <c r="H127" s="20">
        <f>H10-'Scenariusz bazowy'!H10</f>
        <v>-226663.5611645719</v>
      </c>
      <c r="I127" s="20">
        <f>I10-'Scenariusz bazowy'!I10</f>
        <v>-229137.60114074685</v>
      </c>
      <c r="J127" s="20">
        <f>J10-'Scenariusz bazowy'!J10</f>
        <v>-231611.64111692179</v>
      </c>
      <c r="K127" s="20">
        <f>K10-'Scenariusz bazowy'!K10</f>
        <v>-258245.16980507225</v>
      </c>
      <c r="L127" s="20">
        <f>L10-'Scenariusz bazowy'!L10</f>
        <v>-237315.37151932623</v>
      </c>
      <c r="M127" s="20">
        <f>M10-'Scenariusz bazowy'!M10</f>
        <v>-240073.47545050457</v>
      </c>
      <c r="N127" s="20">
        <f>N10-'Scenariusz bazowy'!N10</f>
        <v>-43232.857628308237</v>
      </c>
      <c r="O127" s="20">
        <f>O10-'Scenariusz bazowy'!O10</f>
        <v>-45990.961559486575</v>
      </c>
      <c r="P127" s="20">
        <f>P10-'Scenariusz bazowy'!P10</f>
        <v>-250145.83122898452</v>
      </c>
      <c r="Q127" s="20">
        <f>Q10-'Scenariusz bazowy'!Q10</f>
        <v>-194093.59750068653</v>
      </c>
      <c r="R127" s="20">
        <f>R10-'Scenariusz bazowy'!R10</f>
        <v>-253766.69862732943</v>
      </c>
      <c r="S127" s="20">
        <f>S10-'Scenariusz bazowy'!S10</f>
        <v>-256524.80255850777</v>
      </c>
      <c r="T127" s="20">
        <f>T10-'Scenariusz bazowy'!T10</f>
        <v>-290197.35720648244</v>
      </c>
    </row>
    <row r="128" spans="1:34" s="1" customFormat="1" ht="12">
      <c r="A128" s="82" t="s">
        <v>49</v>
      </c>
      <c r="B128" s="95" t="s">
        <v>284</v>
      </c>
      <c r="C128" s="175" t="s">
        <v>0</v>
      </c>
      <c r="D128" s="175"/>
      <c r="E128" s="20">
        <f>E129+E130</f>
        <v>0</v>
      </c>
      <c r="F128" s="20">
        <f t="shared" ref="F128:T128" si="31">F129+F130</f>
        <v>0</v>
      </c>
      <c r="G128" s="20">
        <f t="shared" si="31"/>
        <v>11560000</v>
      </c>
      <c r="H128" s="20">
        <f t="shared" si="31"/>
        <v>0</v>
      </c>
      <c r="I128" s="20">
        <f t="shared" si="31"/>
        <v>0</v>
      </c>
      <c r="J128" s="20">
        <f t="shared" si="31"/>
        <v>600000</v>
      </c>
      <c r="K128" s="20">
        <f t="shared" si="31"/>
        <v>0</v>
      </c>
      <c r="L128" s="20">
        <f t="shared" si="31"/>
        <v>-600000</v>
      </c>
      <c r="M128" s="20">
        <f t="shared" si="31"/>
        <v>0</v>
      </c>
      <c r="N128" s="20">
        <f t="shared" si="31"/>
        <v>-4200000</v>
      </c>
      <c r="O128" s="20">
        <f t="shared" si="31"/>
        <v>8020000</v>
      </c>
      <c r="P128" s="20">
        <f t="shared" si="31"/>
        <v>0</v>
      </c>
      <c r="Q128" s="20">
        <f t="shared" si="31"/>
        <v>3040000</v>
      </c>
      <c r="R128" s="20">
        <f t="shared" si="31"/>
        <v>0</v>
      </c>
      <c r="S128" s="20">
        <f t="shared" si="31"/>
        <v>4140000</v>
      </c>
      <c r="T128" s="20">
        <f t="shared" si="31"/>
        <v>-600000</v>
      </c>
    </row>
    <row r="129" spans="1:35" s="1" customFormat="1" ht="12">
      <c r="A129" s="82" t="s">
        <v>53</v>
      </c>
      <c r="B129" s="95" t="s">
        <v>285</v>
      </c>
      <c r="C129" s="175" t="s">
        <v>0</v>
      </c>
      <c r="D129" s="175"/>
      <c r="E129" s="20">
        <f t="shared" ref="E129:T131" si="32">E102</f>
        <v>0</v>
      </c>
      <c r="F129" s="20">
        <f t="shared" si="32"/>
        <v>0</v>
      </c>
      <c r="G129" s="20">
        <f t="shared" si="32"/>
        <v>11560000</v>
      </c>
      <c r="H129" s="20">
        <f t="shared" si="32"/>
        <v>0</v>
      </c>
      <c r="I129" s="20">
        <f t="shared" si="32"/>
        <v>0</v>
      </c>
      <c r="J129" s="20">
        <f t="shared" si="32"/>
        <v>600000</v>
      </c>
      <c r="K129" s="20">
        <f t="shared" si="32"/>
        <v>0</v>
      </c>
      <c r="L129" s="20">
        <f t="shared" si="32"/>
        <v>-600000</v>
      </c>
      <c r="M129" s="20">
        <f t="shared" si="32"/>
        <v>0</v>
      </c>
      <c r="N129" s="20">
        <f t="shared" si="32"/>
        <v>-4200000</v>
      </c>
      <c r="O129" s="20">
        <f t="shared" si="32"/>
        <v>8020000</v>
      </c>
      <c r="P129" s="20">
        <f t="shared" si="32"/>
        <v>0</v>
      </c>
      <c r="Q129" s="20">
        <f t="shared" si="32"/>
        <v>3040000</v>
      </c>
      <c r="R129" s="20">
        <f t="shared" si="32"/>
        <v>0</v>
      </c>
      <c r="S129" s="20">
        <f t="shared" si="32"/>
        <v>4140000</v>
      </c>
      <c r="T129" s="20">
        <f t="shared" si="32"/>
        <v>-600000</v>
      </c>
    </row>
    <row r="130" spans="1:35" s="1" customFormat="1" ht="12">
      <c r="A130" s="82" t="s">
        <v>54</v>
      </c>
      <c r="B130" s="95" t="s">
        <v>286</v>
      </c>
      <c r="C130" s="175" t="s">
        <v>0</v>
      </c>
      <c r="D130" s="175"/>
      <c r="E130" s="20">
        <f t="shared" si="32"/>
        <v>0</v>
      </c>
      <c r="F130" s="20">
        <f t="shared" si="32"/>
        <v>0</v>
      </c>
      <c r="G130" s="20">
        <f t="shared" si="32"/>
        <v>0</v>
      </c>
      <c r="H130" s="20">
        <f t="shared" si="32"/>
        <v>0</v>
      </c>
      <c r="I130" s="20">
        <f t="shared" si="32"/>
        <v>0</v>
      </c>
      <c r="J130" s="20">
        <f t="shared" si="32"/>
        <v>0</v>
      </c>
      <c r="K130" s="20">
        <f t="shared" si="32"/>
        <v>0</v>
      </c>
      <c r="L130" s="20">
        <f t="shared" si="32"/>
        <v>0</v>
      </c>
      <c r="M130" s="20">
        <f t="shared" si="32"/>
        <v>0</v>
      </c>
      <c r="N130" s="20">
        <f t="shared" si="32"/>
        <v>0</v>
      </c>
      <c r="O130" s="20">
        <f t="shared" si="32"/>
        <v>0</v>
      </c>
      <c r="P130" s="20">
        <f t="shared" si="32"/>
        <v>0</v>
      </c>
      <c r="Q130" s="20">
        <f t="shared" si="32"/>
        <v>0</v>
      </c>
      <c r="R130" s="20">
        <f t="shared" si="32"/>
        <v>0</v>
      </c>
      <c r="S130" s="20">
        <f t="shared" si="32"/>
        <v>0</v>
      </c>
      <c r="T130" s="20">
        <f t="shared" si="32"/>
        <v>0</v>
      </c>
    </row>
    <row r="131" spans="1:35" s="1" customFormat="1" ht="12">
      <c r="A131" s="82" t="s">
        <v>60</v>
      </c>
      <c r="B131" s="95" t="s">
        <v>287</v>
      </c>
      <c r="C131" s="175" t="s">
        <v>0</v>
      </c>
      <c r="D131" s="175"/>
      <c r="E131" s="20">
        <f t="shared" si="32"/>
        <v>0</v>
      </c>
      <c r="F131" s="20">
        <f t="shared" si="32"/>
        <v>0</v>
      </c>
      <c r="G131" s="20">
        <f t="shared" si="32"/>
        <v>0</v>
      </c>
      <c r="H131" s="20">
        <f t="shared" si="32"/>
        <v>0</v>
      </c>
      <c r="I131" s="20">
        <f t="shared" si="32"/>
        <v>0</v>
      </c>
      <c r="J131" s="20">
        <f t="shared" si="32"/>
        <v>150000</v>
      </c>
      <c r="K131" s="20">
        <f t="shared" si="32"/>
        <v>0</v>
      </c>
      <c r="L131" s="20">
        <f t="shared" si="32"/>
        <v>0</v>
      </c>
      <c r="M131" s="20">
        <f t="shared" si="32"/>
        <v>0</v>
      </c>
      <c r="N131" s="20">
        <f t="shared" si="32"/>
        <v>0</v>
      </c>
      <c r="O131" s="20">
        <f t="shared" si="32"/>
        <v>0</v>
      </c>
      <c r="P131" s="20">
        <f t="shared" si="32"/>
        <v>0</v>
      </c>
      <c r="Q131" s="20">
        <f t="shared" si="32"/>
        <v>-150000</v>
      </c>
      <c r="R131" s="20">
        <f t="shared" si="32"/>
        <v>0</v>
      </c>
      <c r="S131" s="20">
        <f t="shared" si="32"/>
        <v>0</v>
      </c>
      <c r="T131" s="20">
        <f t="shared" si="32"/>
        <v>0</v>
      </c>
    </row>
    <row r="132" spans="1:35" s="11" customFormat="1" ht="12">
      <c r="A132" s="37" t="s">
        <v>29</v>
      </c>
      <c r="B132" s="101" t="s">
        <v>85</v>
      </c>
      <c r="C132" s="253" t="s">
        <v>0</v>
      </c>
      <c r="D132" s="253"/>
      <c r="E132" s="19">
        <f t="shared" ref="E132:T132" si="33">E123-E126</f>
        <v>0</v>
      </c>
      <c r="F132" s="19">
        <f t="shared" si="33"/>
        <v>0</v>
      </c>
      <c r="G132" s="19">
        <f t="shared" si="33"/>
        <v>-11505556.289526686</v>
      </c>
      <c r="H132" s="19">
        <f t="shared" si="33"/>
        <v>226663.5611645719</v>
      </c>
      <c r="I132" s="19">
        <f t="shared" si="33"/>
        <v>229137.60114074685</v>
      </c>
      <c r="J132" s="19">
        <f t="shared" si="33"/>
        <v>-518388.35888307821</v>
      </c>
      <c r="K132" s="19">
        <f t="shared" si="33"/>
        <v>258245.16980507225</v>
      </c>
      <c r="L132" s="19">
        <f t="shared" si="33"/>
        <v>837315.37151932623</v>
      </c>
      <c r="M132" s="19">
        <f t="shared" si="33"/>
        <v>240073.47545050457</v>
      </c>
      <c r="N132" s="19">
        <f t="shared" si="33"/>
        <v>4243232.8576283082</v>
      </c>
      <c r="O132" s="19">
        <f t="shared" si="33"/>
        <v>-7974009.0384405134</v>
      </c>
      <c r="P132" s="19">
        <f t="shared" si="33"/>
        <v>250145.83122898452</v>
      </c>
      <c r="Q132" s="19">
        <f t="shared" si="33"/>
        <v>-2695906.4024993135</v>
      </c>
      <c r="R132" s="19">
        <f t="shared" si="33"/>
        <v>253766.69862732943</v>
      </c>
      <c r="S132" s="19">
        <f t="shared" si="33"/>
        <v>-3883475.1974414922</v>
      </c>
      <c r="T132" s="19">
        <f t="shared" si="33"/>
        <v>3613720.9596910109</v>
      </c>
    </row>
    <row r="133" spans="1:35" s="1" customFormat="1" ht="12">
      <c r="A133" s="82" t="s">
        <v>30</v>
      </c>
      <c r="B133" s="95" t="s">
        <v>86</v>
      </c>
      <c r="C133" s="175" t="s">
        <v>88</v>
      </c>
      <c r="D133" s="175"/>
      <c r="E133" s="29">
        <v>1</v>
      </c>
      <c r="F133" s="29">
        <f t="shared" ref="F133:T133" si="34">(1/(1+F134)^F122)</f>
        <v>0.96153846153846145</v>
      </c>
      <c r="G133" s="29">
        <f t="shared" si="34"/>
        <v>0.92455621301775137</v>
      </c>
      <c r="H133" s="29">
        <f t="shared" si="34"/>
        <v>0.88899635867091487</v>
      </c>
      <c r="I133" s="29">
        <f t="shared" si="34"/>
        <v>0.85480419102972571</v>
      </c>
      <c r="J133" s="29">
        <f t="shared" si="34"/>
        <v>0.82192710675935154</v>
      </c>
      <c r="K133" s="29">
        <f t="shared" si="34"/>
        <v>0.79031452573014571</v>
      </c>
      <c r="L133" s="29">
        <f t="shared" si="34"/>
        <v>0.75991781320206331</v>
      </c>
      <c r="M133" s="29">
        <f t="shared" si="34"/>
        <v>0.73069020500198378</v>
      </c>
      <c r="N133" s="29">
        <f t="shared" si="34"/>
        <v>0.70258673557883045</v>
      </c>
      <c r="O133" s="29">
        <f t="shared" si="34"/>
        <v>0.67556416882579851</v>
      </c>
      <c r="P133" s="29">
        <f t="shared" si="34"/>
        <v>0.6495809315632679</v>
      </c>
      <c r="Q133" s="29">
        <f t="shared" si="34"/>
        <v>0.62459704958006512</v>
      </c>
      <c r="R133" s="29">
        <f t="shared" si="34"/>
        <v>0.600574086134678</v>
      </c>
      <c r="S133" s="29">
        <f t="shared" si="34"/>
        <v>0.57747508282180582</v>
      </c>
      <c r="T133" s="29">
        <f t="shared" si="34"/>
        <v>0.55526450271327477</v>
      </c>
    </row>
    <row r="134" spans="1:35" s="1" customFormat="1" ht="12">
      <c r="A134" s="82" t="s">
        <v>87</v>
      </c>
      <c r="B134" s="95" t="s">
        <v>4</v>
      </c>
      <c r="C134" s="175" t="s">
        <v>1</v>
      </c>
      <c r="D134" s="175"/>
      <c r="E134" s="30">
        <f>Założenia!E16</f>
        <v>0.04</v>
      </c>
      <c r="F134" s="30">
        <f>Założenia!F16</f>
        <v>0.04</v>
      </c>
      <c r="G134" s="30">
        <f>Założenia!G16</f>
        <v>0.04</v>
      </c>
      <c r="H134" s="30">
        <f>Założenia!H16</f>
        <v>0.04</v>
      </c>
      <c r="I134" s="30">
        <f>Założenia!I16</f>
        <v>0.04</v>
      </c>
      <c r="J134" s="30">
        <f>Założenia!J16</f>
        <v>0.04</v>
      </c>
      <c r="K134" s="30">
        <f>Założenia!G16</f>
        <v>0.04</v>
      </c>
      <c r="L134" s="30">
        <f>Założenia!L16</f>
        <v>0.04</v>
      </c>
      <c r="M134" s="30">
        <f>Założenia!M16</f>
        <v>0.04</v>
      </c>
      <c r="N134" s="30">
        <f>Założenia!N16</f>
        <v>0.04</v>
      </c>
      <c r="O134" s="30">
        <f>Założenia!O16</f>
        <v>0.04</v>
      </c>
      <c r="P134" s="30">
        <f>Założenia!P16</f>
        <v>0.04</v>
      </c>
      <c r="Q134" s="30">
        <f>Założenia!Q16</f>
        <v>0.04</v>
      </c>
      <c r="R134" s="30">
        <f>Założenia!R16</f>
        <v>0.04</v>
      </c>
      <c r="S134" s="30">
        <f>Założenia!S16</f>
        <v>0.04</v>
      </c>
      <c r="T134" s="30">
        <f>Założenia!T16</f>
        <v>0.04</v>
      </c>
    </row>
    <row r="135" spans="1:35" s="11" customFormat="1" ht="12">
      <c r="A135" s="37" t="s">
        <v>31</v>
      </c>
      <c r="B135" s="101" t="s">
        <v>173</v>
      </c>
      <c r="C135" s="253" t="s">
        <v>0</v>
      </c>
      <c r="D135" s="253"/>
      <c r="E135" s="99">
        <f>E132*E133</f>
        <v>0</v>
      </c>
      <c r="F135" s="99">
        <f t="shared" ref="F135:T135" si="35">F132*F133</f>
        <v>0</v>
      </c>
      <c r="G135" s="99">
        <f t="shared" si="35"/>
        <v>-10637533.551707365</v>
      </c>
      <c r="H135" s="99">
        <f t="shared" si="35"/>
        <v>201503.08051868662</v>
      </c>
      <c r="I135" s="99">
        <f t="shared" si="35"/>
        <v>195867.78177760806</v>
      </c>
      <c r="J135" s="99">
        <f t="shared" si="35"/>
        <v>-426077.44399449689</v>
      </c>
      <c r="K135" s="99">
        <f t="shared" si="35"/>
        <v>204094.90889659661</v>
      </c>
      <c r="L135" s="99">
        <f t="shared" si="35"/>
        <v>636290.86608543957</v>
      </c>
      <c r="M135" s="99">
        <f t="shared" si="35"/>
        <v>175419.3369924679</v>
      </c>
      <c r="N135" s="99">
        <f t="shared" si="35"/>
        <v>2981239.1217419053</v>
      </c>
      <c r="O135" s="99">
        <f t="shared" si="35"/>
        <v>-5386954.7882634699</v>
      </c>
      <c r="P135" s="99">
        <f t="shared" si="35"/>
        <v>162489.96207639176</v>
      </c>
      <c r="Q135" s="99">
        <f t="shared" si="35"/>
        <v>-1683855.1849450788</v>
      </c>
      <c r="R135" s="99">
        <f t="shared" si="35"/>
        <v>152405.70311952263</v>
      </c>
      <c r="S135" s="99">
        <f t="shared" si="35"/>
        <v>-2242610.1612789542</v>
      </c>
      <c r="T135" s="99">
        <f t="shared" si="35"/>
        <v>2006570.9716273672</v>
      </c>
    </row>
    <row r="136" spans="1:35" s="28" customFormat="1" ht="12">
      <c r="A136" s="37" t="s">
        <v>35</v>
      </c>
      <c r="B136" s="100" t="s">
        <v>81</v>
      </c>
      <c r="C136" s="175" t="s">
        <v>0</v>
      </c>
      <c r="D136" s="175"/>
      <c r="E136" s="277">
        <f>SUM(E135:T135)</f>
        <v>-13661149.397353375</v>
      </c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1"/>
    </row>
    <row r="137" spans="1:35" s="28" customFormat="1" ht="12">
      <c r="A137" s="37" t="s">
        <v>36</v>
      </c>
      <c r="B137" s="100" t="s">
        <v>82</v>
      </c>
      <c r="C137" s="175" t="s">
        <v>1</v>
      </c>
      <c r="D137" s="175"/>
      <c r="E137" s="278" t="str">
        <f>IFERROR(IRR(E132:T132),"niepoliczalna")</f>
        <v>niepoliczalna</v>
      </c>
      <c r="F137" s="410" t="s">
        <v>386</v>
      </c>
      <c r="G137" s="279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1"/>
    </row>
    <row r="138" spans="1:35" s="28" customFormat="1" ht="12">
      <c r="A138" s="37"/>
      <c r="B138" s="105"/>
      <c r="C138" s="71"/>
      <c r="D138" s="71"/>
      <c r="E138" s="280"/>
      <c r="F138" s="172"/>
      <c r="G138" s="279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1"/>
    </row>
    <row r="139" spans="1:35" s="1" customFormat="1" ht="12">
      <c r="A139" s="82"/>
      <c r="B139" s="158"/>
      <c r="C139" s="272"/>
      <c r="D139" s="273"/>
      <c r="E139" s="274">
        <v>1</v>
      </c>
      <c r="F139" s="274">
        <f>E139+1</f>
        <v>2</v>
      </c>
      <c r="G139" s="274">
        <f t="shared" ref="G139:U140" si="36">F139+1</f>
        <v>3</v>
      </c>
      <c r="H139" s="274">
        <f t="shared" si="36"/>
        <v>4</v>
      </c>
      <c r="I139" s="274">
        <f t="shared" si="36"/>
        <v>5</v>
      </c>
      <c r="J139" s="274">
        <f t="shared" si="36"/>
        <v>6</v>
      </c>
      <c r="K139" s="274">
        <f t="shared" si="36"/>
        <v>7</v>
      </c>
      <c r="L139" s="274">
        <f t="shared" si="36"/>
        <v>8</v>
      </c>
      <c r="M139" s="274">
        <f t="shared" si="36"/>
        <v>9</v>
      </c>
      <c r="N139" s="274">
        <f t="shared" si="36"/>
        <v>10</v>
      </c>
      <c r="O139" s="274">
        <f t="shared" si="36"/>
        <v>11</v>
      </c>
      <c r="P139" s="274">
        <f t="shared" si="36"/>
        <v>12</v>
      </c>
      <c r="Q139" s="274">
        <f t="shared" si="36"/>
        <v>13</v>
      </c>
      <c r="R139" s="274">
        <f t="shared" si="36"/>
        <v>14</v>
      </c>
      <c r="S139" s="274">
        <f t="shared" si="36"/>
        <v>15</v>
      </c>
      <c r="T139" s="274">
        <f t="shared" si="36"/>
        <v>16</v>
      </c>
      <c r="U139" s="274">
        <f t="shared" si="36"/>
        <v>17</v>
      </c>
      <c r="V139" s="159"/>
      <c r="W139" s="159"/>
      <c r="X139" s="159"/>
      <c r="Y139" s="159"/>
      <c r="Z139" s="159"/>
      <c r="AA139" s="159"/>
      <c r="AB139" s="159"/>
      <c r="AC139" s="159"/>
      <c r="AD139" s="159"/>
      <c r="AE139" s="159"/>
      <c r="AF139" s="159"/>
      <c r="AG139" s="159"/>
      <c r="AH139" s="159"/>
      <c r="AI139" s="159"/>
    </row>
    <row r="140" spans="1:35" s="1" customFormat="1">
      <c r="A140" s="227" t="s">
        <v>252</v>
      </c>
      <c r="B140" s="81" t="s">
        <v>357</v>
      </c>
      <c r="C140" s="272"/>
      <c r="D140" s="273"/>
      <c r="E140" s="250">
        <f>T5+1</f>
        <v>2040</v>
      </c>
      <c r="F140" s="250">
        <f>E140+1</f>
        <v>2041</v>
      </c>
      <c r="G140" s="250">
        <f t="shared" si="36"/>
        <v>2042</v>
      </c>
      <c r="H140" s="250">
        <f t="shared" si="36"/>
        <v>2043</v>
      </c>
      <c r="I140" s="250">
        <f t="shared" si="36"/>
        <v>2044</v>
      </c>
      <c r="J140" s="250">
        <f t="shared" si="36"/>
        <v>2045</v>
      </c>
      <c r="K140" s="250">
        <f t="shared" si="36"/>
        <v>2046</v>
      </c>
      <c r="L140" s="250">
        <f t="shared" si="36"/>
        <v>2047</v>
      </c>
      <c r="M140" s="250">
        <f t="shared" si="36"/>
        <v>2048</v>
      </c>
      <c r="N140" s="250">
        <f t="shared" si="36"/>
        <v>2049</v>
      </c>
      <c r="O140" s="250">
        <f t="shared" si="36"/>
        <v>2050</v>
      </c>
      <c r="P140" s="250">
        <f t="shared" si="36"/>
        <v>2051</v>
      </c>
      <c r="Q140" s="250">
        <f t="shared" si="36"/>
        <v>2052</v>
      </c>
      <c r="R140" s="250">
        <f t="shared" si="36"/>
        <v>2053</v>
      </c>
      <c r="S140" s="250">
        <f t="shared" si="36"/>
        <v>2054</v>
      </c>
      <c r="T140" s="250">
        <f t="shared" si="36"/>
        <v>2055</v>
      </c>
      <c r="U140" s="250">
        <f t="shared" si="36"/>
        <v>2056</v>
      </c>
      <c r="V140" s="148"/>
      <c r="W140" s="148"/>
      <c r="X140" s="148"/>
      <c r="Y140" s="148"/>
      <c r="Z140" s="148"/>
      <c r="AA140" s="148"/>
      <c r="AB140" s="148"/>
      <c r="AC140" s="148"/>
      <c r="AD140" s="148"/>
      <c r="AE140" s="148"/>
      <c r="AF140" s="148"/>
      <c r="AG140" s="148"/>
      <c r="AH140" s="148"/>
      <c r="AI140" s="148"/>
    </row>
    <row r="141" spans="1:35" s="1" customFormat="1" ht="12">
      <c r="A141" s="82" t="s">
        <v>33</v>
      </c>
      <c r="B141" s="97" t="s">
        <v>168</v>
      </c>
      <c r="C141" s="253" t="s">
        <v>147</v>
      </c>
      <c r="D141" s="275">
        <f>Założenia!$E$6</f>
        <v>2024</v>
      </c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</row>
    <row r="142" spans="1:35" s="1" customFormat="1" ht="12">
      <c r="A142" s="82" t="s">
        <v>34</v>
      </c>
      <c r="B142" s="97" t="s">
        <v>169</v>
      </c>
      <c r="C142" s="253" t="s">
        <v>147</v>
      </c>
      <c r="D142" s="275">
        <f>Założenia!$E$8</f>
        <v>2039</v>
      </c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</row>
    <row r="143" spans="1:35" s="1" customFormat="1" ht="12">
      <c r="A143" s="82" t="s">
        <v>29</v>
      </c>
      <c r="B143" s="97" t="s">
        <v>3</v>
      </c>
      <c r="C143" s="253" t="s">
        <v>27</v>
      </c>
      <c r="D143" s="252">
        <f>Założenia!$E$9</f>
        <v>15</v>
      </c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</row>
    <row r="144" spans="1:35" s="1" customFormat="1" ht="12">
      <c r="A144" s="82" t="s">
        <v>36</v>
      </c>
      <c r="B144" s="134" t="s">
        <v>171</v>
      </c>
      <c r="C144" s="253" t="s">
        <v>27</v>
      </c>
      <c r="D144" s="254">
        <f>D116</f>
        <v>12</v>
      </c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</row>
    <row r="145" spans="1:35" s="1" customFormat="1" ht="12">
      <c r="A145" s="82" t="s">
        <v>37</v>
      </c>
      <c r="B145" s="134" t="s">
        <v>176</v>
      </c>
      <c r="C145" s="253" t="s">
        <v>0</v>
      </c>
      <c r="D145" s="254"/>
      <c r="E145" s="20">
        <f>IF(E148&gt;0,($T$165-AVERAGE($E$162:$T$162)-AVERAGE($E$154:$T$154)),0)</f>
        <v>137057.82855278684</v>
      </c>
      <c r="F145" s="20">
        <f t="shared" ref="F145:T145" si="37">IF(F148&gt;0,($T$165-AVERAGE($E$162:$T$162)-AVERAGE($E$154:$T$154)),0)</f>
        <v>137057.82855278684</v>
      </c>
      <c r="G145" s="20">
        <f t="shared" si="37"/>
        <v>137057.82855278684</v>
      </c>
      <c r="H145" s="20">
        <f t="shared" si="37"/>
        <v>137057.82855278684</v>
      </c>
      <c r="I145" s="20">
        <f t="shared" si="37"/>
        <v>137057.82855278684</v>
      </c>
      <c r="J145" s="20">
        <f t="shared" si="37"/>
        <v>137057.82855278684</v>
      </c>
      <c r="K145" s="20">
        <f t="shared" si="37"/>
        <v>137057.82855278684</v>
      </c>
      <c r="L145" s="20">
        <f t="shared" si="37"/>
        <v>137057.82855278684</v>
      </c>
      <c r="M145" s="20">
        <f t="shared" si="37"/>
        <v>137057.82855278684</v>
      </c>
      <c r="N145" s="20">
        <f t="shared" si="37"/>
        <v>137057.82855278684</v>
      </c>
      <c r="O145" s="20">
        <f t="shared" si="37"/>
        <v>137057.82855278684</v>
      </c>
      <c r="P145" s="20">
        <f t="shared" si="37"/>
        <v>137057.82855278684</v>
      </c>
      <c r="Q145" s="20">
        <f t="shared" si="37"/>
        <v>0</v>
      </c>
      <c r="R145" s="20">
        <f t="shared" si="37"/>
        <v>0</v>
      </c>
      <c r="S145" s="20">
        <f t="shared" si="37"/>
        <v>0</v>
      </c>
      <c r="T145" s="20">
        <f t="shared" si="37"/>
        <v>0</v>
      </c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</row>
    <row r="146" spans="1:35" s="1" customFormat="1" ht="12">
      <c r="A146" s="82" t="s">
        <v>38</v>
      </c>
      <c r="B146" s="134" t="s">
        <v>175</v>
      </c>
      <c r="C146" s="253" t="s">
        <v>0</v>
      </c>
      <c r="D146" s="254"/>
      <c r="E146" s="20">
        <f>E145/(1+Założenia!$E$17)^E139</f>
        <v>133065.85296387071</v>
      </c>
      <c r="F146" s="20">
        <f>F145/(1+Założenia!$E$17)^F139</f>
        <v>129190.14850861236</v>
      </c>
      <c r="G146" s="20">
        <f>G145/(1+Założenia!$E$17)^G139</f>
        <v>125427.3286491382</v>
      </c>
      <c r="H146" s="20">
        <f>H145/(1+Założenia!$E$17)^H139</f>
        <v>121774.10548460021</v>
      </c>
      <c r="I146" s="20">
        <f>I145/(1+Założenia!$E$17)^I139</f>
        <v>118227.28687825263</v>
      </c>
      <c r="J146" s="20">
        <f>J145/(1+Założenia!$E$17)^J139</f>
        <v>114783.77366820644</v>
      </c>
      <c r="K146" s="20">
        <f>K145/(1+Założenia!$E$17)^K139</f>
        <v>111440.55695942372</v>
      </c>
      <c r="L146" s="20">
        <f>L145/(1+Założenia!$E$17)^L139</f>
        <v>108194.71549458614</v>
      </c>
      <c r="M146" s="20">
        <f>M145/(1+Założenia!$E$17)^M139</f>
        <v>105043.41310153995</v>
      </c>
      <c r="N146" s="20">
        <f>N145/(1+Założenia!$E$17)^N139</f>
        <v>101983.89621508733</v>
      </c>
      <c r="O146" s="20">
        <f>O145/(1+Założenia!$E$17)^O139</f>
        <v>99013.491470958557</v>
      </c>
      <c r="P146" s="20">
        <f>P145/(1+Założenia!$E$17)^P139</f>
        <v>96129.6033698627</v>
      </c>
      <c r="Q146" s="20">
        <f>Q145/(1+Założenia!$E$17)^Q139</f>
        <v>0</v>
      </c>
      <c r="R146" s="20">
        <f>R145/(1+Założenia!$E$17)^R139</f>
        <v>0</v>
      </c>
      <c r="S146" s="20">
        <f>S145/(1+Założenia!$E$17)^S139</f>
        <v>0</v>
      </c>
      <c r="T146" s="20">
        <f>T145/(1+Założenia!$E$17)^T139</f>
        <v>0</v>
      </c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</row>
    <row r="147" spans="1:35" s="1" customFormat="1" ht="12">
      <c r="A147" s="82" t="s">
        <v>39</v>
      </c>
      <c r="B147" s="134" t="s">
        <v>52</v>
      </c>
      <c r="C147" s="281" t="s">
        <v>0</v>
      </c>
      <c r="D147" s="282">
        <f>SUM(E146:AH146)</f>
        <v>1364274.1727641388</v>
      </c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</row>
    <row r="148" spans="1:35" s="28" customFormat="1" ht="12">
      <c r="A148" s="37"/>
      <c r="B148" s="105"/>
      <c r="C148" s="283"/>
      <c r="D148" s="284">
        <v>12</v>
      </c>
      <c r="E148" s="285">
        <f>D148</f>
        <v>12</v>
      </c>
      <c r="F148" s="285">
        <f>IF(E148-1&gt;0,E148-1,0)</f>
        <v>11</v>
      </c>
      <c r="G148" s="285">
        <f>IF(F148-1&gt;0,F148-1,0)</f>
        <v>10</v>
      </c>
      <c r="H148" s="285">
        <f t="shared" ref="H148:T148" si="38">IF(G148-1&gt;0,G148-1,0)</f>
        <v>9</v>
      </c>
      <c r="I148" s="285">
        <f t="shared" si="38"/>
        <v>8</v>
      </c>
      <c r="J148" s="285">
        <f t="shared" si="38"/>
        <v>7</v>
      </c>
      <c r="K148" s="285">
        <f t="shared" si="38"/>
        <v>6</v>
      </c>
      <c r="L148" s="285">
        <f t="shared" si="38"/>
        <v>5</v>
      </c>
      <c r="M148" s="285">
        <f t="shared" si="38"/>
        <v>4</v>
      </c>
      <c r="N148" s="285">
        <f t="shared" si="38"/>
        <v>3</v>
      </c>
      <c r="O148" s="285">
        <f t="shared" si="38"/>
        <v>2</v>
      </c>
      <c r="P148" s="285">
        <f t="shared" si="38"/>
        <v>1</v>
      </c>
      <c r="Q148" s="285">
        <f t="shared" si="38"/>
        <v>0</v>
      </c>
      <c r="R148" s="285">
        <f t="shared" si="38"/>
        <v>0</v>
      </c>
      <c r="S148" s="285">
        <f t="shared" si="38"/>
        <v>0</v>
      </c>
      <c r="T148" s="285">
        <f t="shared" si="38"/>
        <v>0</v>
      </c>
      <c r="U148" s="11"/>
    </row>
    <row r="149" spans="1:35" s="28" customFormat="1" ht="12">
      <c r="A149" s="37"/>
      <c r="B149" s="105"/>
      <c r="C149" s="71"/>
      <c r="D149" s="71"/>
      <c r="E149" s="280"/>
      <c r="F149" s="172"/>
      <c r="G149" s="279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1"/>
    </row>
    <row r="150" spans="1:35" s="1" customFormat="1" ht="12">
      <c r="A150" s="227" t="s">
        <v>253</v>
      </c>
      <c r="B150" s="81" t="s">
        <v>246</v>
      </c>
      <c r="E150" s="274">
        <v>0</v>
      </c>
      <c r="F150" s="274">
        <f>E150+1</f>
        <v>1</v>
      </c>
      <c r="G150" s="274">
        <f t="shared" ref="G150:T150" si="39">F150+1</f>
        <v>2</v>
      </c>
      <c r="H150" s="274">
        <f t="shared" si="39"/>
        <v>3</v>
      </c>
      <c r="I150" s="274">
        <f t="shared" si="39"/>
        <v>4</v>
      </c>
      <c r="J150" s="274">
        <f t="shared" si="39"/>
        <v>5</v>
      </c>
      <c r="K150" s="274">
        <f t="shared" si="39"/>
        <v>6</v>
      </c>
      <c r="L150" s="274">
        <f t="shared" si="39"/>
        <v>7</v>
      </c>
      <c r="M150" s="274">
        <f t="shared" si="39"/>
        <v>8</v>
      </c>
      <c r="N150" s="274">
        <f t="shared" si="39"/>
        <v>9</v>
      </c>
      <c r="O150" s="274">
        <f t="shared" si="39"/>
        <v>10</v>
      </c>
      <c r="P150" s="274">
        <f t="shared" si="39"/>
        <v>11</v>
      </c>
      <c r="Q150" s="274">
        <f t="shared" si="39"/>
        <v>12</v>
      </c>
      <c r="R150" s="274">
        <f t="shared" si="39"/>
        <v>13</v>
      </c>
      <c r="S150" s="274">
        <f t="shared" si="39"/>
        <v>14</v>
      </c>
      <c r="T150" s="274">
        <f t="shared" si="39"/>
        <v>15</v>
      </c>
    </row>
    <row r="151" spans="1:35" s="23" customFormat="1">
      <c r="A151" s="37" t="s">
        <v>33</v>
      </c>
      <c r="B151" s="101" t="s">
        <v>90</v>
      </c>
      <c r="C151" s="253" t="s">
        <v>0</v>
      </c>
      <c r="D151" s="253"/>
      <c r="E151" s="33">
        <f>E152+E153+E154+E155</f>
        <v>0</v>
      </c>
      <c r="F151" s="33">
        <f t="shared" ref="F151:T151" si="40">F152+F153+F154+F155</f>
        <v>0</v>
      </c>
      <c r="G151" s="33">
        <f t="shared" si="40"/>
        <v>11505556.289526686</v>
      </c>
      <c r="H151" s="33">
        <f t="shared" si="40"/>
        <v>-226663.5611645719</v>
      </c>
      <c r="I151" s="33">
        <f t="shared" si="40"/>
        <v>-229137.60114074685</v>
      </c>
      <c r="J151" s="33">
        <f t="shared" si="40"/>
        <v>518388.35888307821</v>
      </c>
      <c r="K151" s="33">
        <f t="shared" si="40"/>
        <v>-258245.16980507225</v>
      </c>
      <c r="L151" s="33">
        <f t="shared" si="40"/>
        <v>-837315.37151932623</v>
      </c>
      <c r="M151" s="33">
        <f t="shared" si="40"/>
        <v>-240073.47545050457</v>
      </c>
      <c r="N151" s="33">
        <f t="shared" si="40"/>
        <v>-4243232.8576283082</v>
      </c>
      <c r="O151" s="33">
        <f t="shared" si="40"/>
        <v>7974009.0384405134</v>
      </c>
      <c r="P151" s="33">
        <f t="shared" si="40"/>
        <v>-250145.83122898452</v>
      </c>
      <c r="Q151" s="33">
        <f t="shared" si="40"/>
        <v>2695906.4024993135</v>
      </c>
      <c r="R151" s="33">
        <f t="shared" si="40"/>
        <v>-253766.69862732943</v>
      </c>
      <c r="S151" s="33">
        <f t="shared" si="40"/>
        <v>3883475.1974414922</v>
      </c>
      <c r="T151" s="33">
        <f t="shared" si="40"/>
        <v>474076.81555765634</v>
      </c>
      <c r="U151" s="11"/>
    </row>
    <row r="152" spans="1:35" s="1" customFormat="1" ht="12">
      <c r="A152" s="82" t="s">
        <v>42</v>
      </c>
      <c r="B152" s="95" t="s">
        <v>32</v>
      </c>
      <c r="C152" s="175" t="s">
        <v>0</v>
      </c>
      <c r="D152" s="175"/>
      <c r="E152" s="20">
        <f t="shared" ref="E152:T152" si="41">E101</f>
        <v>0</v>
      </c>
      <c r="F152" s="20">
        <f t="shared" si="41"/>
        <v>0</v>
      </c>
      <c r="G152" s="20">
        <f t="shared" si="41"/>
        <v>11560000</v>
      </c>
      <c r="H152" s="20">
        <f t="shared" si="41"/>
        <v>0</v>
      </c>
      <c r="I152" s="20">
        <f t="shared" si="41"/>
        <v>0</v>
      </c>
      <c r="J152" s="20">
        <f t="shared" si="41"/>
        <v>600000</v>
      </c>
      <c r="K152" s="20">
        <f t="shared" si="41"/>
        <v>0</v>
      </c>
      <c r="L152" s="20">
        <f t="shared" si="41"/>
        <v>-600000</v>
      </c>
      <c r="M152" s="20">
        <f t="shared" si="41"/>
        <v>0</v>
      </c>
      <c r="N152" s="20">
        <f t="shared" si="41"/>
        <v>-4200000</v>
      </c>
      <c r="O152" s="20">
        <f t="shared" si="41"/>
        <v>8020000</v>
      </c>
      <c r="P152" s="20">
        <f t="shared" si="41"/>
        <v>0</v>
      </c>
      <c r="Q152" s="20">
        <f t="shared" si="41"/>
        <v>3040000</v>
      </c>
      <c r="R152" s="20">
        <f t="shared" si="41"/>
        <v>0</v>
      </c>
      <c r="S152" s="20">
        <f t="shared" si="41"/>
        <v>4140000</v>
      </c>
      <c r="T152" s="20">
        <f t="shared" si="41"/>
        <v>-600000</v>
      </c>
    </row>
    <row r="153" spans="1:35" s="1" customFormat="1" ht="12">
      <c r="A153" s="82" t="s">
        <v>43</v>
      </c>
      <c r="B153" s="95" t="s">
        <v>91</v>
      </c>
      <c r="C153" s="175" t="s">
        <v>0</v>
      </c>
      <c r="D153" s="175"/>
      <c r="E153" s="20">
        <f t="shared" ref="E153:T153" si="42">E127</f>
        <v>0</v>
      </c>
      <c r="F153" s="20">
        <f t="shared" si="42"/>
        <v>0</v>
      </c>
      <c r="G153" s="20">
        <f t="shared" si="42"/>
        <v>-54443.710473313928</v>
      </c>
      <c r="H153" s="20">
        <f t="shared" si="42"/>
        <v>-226663.5611645719</v>
      </c>
      <c r="I153" s="20">
        <f t="shared" si="42"/>
        <v>-229137.60114074685</v>
      </c>
      <c r="J153" s="20">
        <f t="shared" si="42"/>
        <v>-231611.64111692179</v>
      </c>
      <c r="K153" s="20">
        <f t="shared" si="42"/>
        <v>-258245.16980507225</v>
      </c>
      <c r="L153" s="20">
        <f t="shared" si="42"/>
        <v>-237315.37151932623</v>
      </c>
      <c r="M153" s="20">
        <f t="shared" si="42"/>
        <v>-240073.47545050457</v>
      </c>
      <c r="N153" s="20">
        <f t="shared" si="42"/>
        <v>-43232.857628308237</v>
      </c>
      <c r="O153" s="20">
        <f t="shared" si="42"/>
        <v>-45990.961559486575</v>
      </c>
      <c r="P153" s="20">
        <f t="shared" si="42"/>
        <v>-250145.83122898452</v>
      </c>
      <c r="Q153" s="20">
        <f t="shared" si="42"/>
        <v>-194093.59750068653</v>
      </c>
      <c r="R153" s="20">
        <f t="shared" si="42"/>
        <v>-253766.69862732943</v>
      </c>
      <c r="S153" s="20">
        <f t="shared" si="42"/>
        <v>-256524.80255850777</v>
      </c>
      <c r="T153" s="20">
        <f t="shared" si="42"/>
        <v>-290197.35720648244</v>
      </c>
    </row>
    <row r="154" spans="1:35" s="1" customFormat="1" ht="12">
      <c r="A154" s="82" t="s">
        <v>44</v>
      </c>
      <c r="B154" s="95" t="s">
        <v>59</v>
      </c>
      <c r="C154" s="175" t="s">
        <v>0</v>
      </c>
      <c r="D154" s="175"/>
      <c r="E154" s="20">
        <f t="shared" ref="E154:T154" si="43">E104</f>
        <v>0</v>
      </c>
      <c r="F154" s="20">
        <f t="shared" si="43"/>
        <v>0</v>
      </c>
      <c r="G154" s="20">
        <f t="shared" si="43"/>
        <v>0</v>
      </c>
      <c r="H154" s="20">
        <f t="shared" si="43"/>
        <v>0</v>
      </c>
      <c r="I154" s="20">
        <f t="shared" si="43"/>
        <v>0</v>
      </c>
      <c r="J154" s="20">
        <f t="shared" si="43"/>
        <v>150000</v>
      </c>
      <c r="K154" s="20">
        <f t="shared" si="43"/>
        <v>0</v>
      </c>
      <c r="L154" s="20">
        <f t="shared" si="43"/>
        <v>0</v>
      </c>
      <c r="M154" s="20">
        <f t="shared" si="43"/>
        <v>0</v>
      </c>
      <c r="N154" s="20">
        <f t="shared" si="43"/>
        <v>0</v>
      </c>
      <c r="O154" s="20">
        <f t="shared" si="43"/>
        <v>0</v>
      </c>
      <c r="P154" s="20">
        <f t="shared" si="43"/>
        <v>0</v>
      </c>
      <c r="Q154" s="20">
        <f t="shared" si="43"/>
        <v>-150000</v>
      </c>
      <c r="R154" s="20">
        <f t="shared" si="43"/>
        <v>0</v>
      </c>
      <c r="S154" s="20">
        <f t="shared" si="43"/>
        <v>0</v>
      </c>
      <c r="T154" s="20">
        <f t="shared" si="43"/>
        <v>0</v>
      </c>
    </row>
    <row r="155" spans="1:35" s="1" customFormat="1" ht="12">
      <c r="A155" s="82" t="s">
        <v>75</v>
      </c>
      <c r="B155" s="95" t="s">
        <v>52</v>
      </c>
      <c r="C155" s="175" t="s">
        <v>0</v>
      </c>
      <c r="D155" s="175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>
        <f>IF(D147&gt;0,D147,0)</f>
        <v>1364274.1727641388</v>
      </c>
    </row>
    <row r="156" spans="1:35" s="11" customFormat="1" ht="12">
      <c r="A156" s="37" t="s">
        <v>34</v>
      </c>
      <c r="B156" s="101" t="s">
        <v>92</v>
      </c>
      <c r="C156" s="253"/>
      <c r="D156" s="253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</row>
    <row r="157" spans="1:35" s="1" customFormat="1" ht="12">
      <c r="A157" s="82" t="s">
        <v>48</v>
      </c>
      <c r="B157" s="95" t="s">
        <v>189</v>
      </c>
      <c r="C157" s="175" t="s">
        <v>88</v>
      </c>
      <c r="D157" s="175"/>
      <c r="E157" s="32">
        <f>Założenia!$E$33</f>
        <v>0.83</v>
      </c>
      <c r="F157" s="32">
        <f>Założenia!$E$33</f>
        <v>0.83</v>
      </c>
      <c r="G157" s="32">
        <f>Założenia!$E$33</f>
        <v>0.83</v>
      </c>
      <c r="H157" s="32">
        <f>Założenia!$E$33</f>
        <v>0.83</v>
      </c>
      <c r="I157" s="32">
        <f>Założenia!$E$33</f>
        <v>0.83</v>
      </c>
      <c r="J157" s="32">
        <f>Założenia!$E$33</f>
        <v>0.83</v>
      </c>
      <c r="K157" s="32">
        <f>Założenia!$E$33</f>
        <v>0.83</v>
      </c>
      <c r="L157" s="32">
        <f>Założenia!$E$33</f>
        <v>0.83</v>
      </c>
      <c r="M157" s="32">
        <f>Założenia!$E$33</f>
        <v>0.83</v>
      </c>
      <c r="N157" s="32">
        <f>Założenia!$E$33</f>
        <v>0.83</v>
      </c>
      <c r="O157" s="32">
        <f>Założenia!$E$33</f>
        <v>0.83</v>
      </c>
      <c r="P157" s="32">
        <f>Założenia!$E$33</f>
        <v>0.83</v>
      </c>
      <c r="Q157" s="32">
        <f>Założenia!$E$33</f>
        <v>0.83</v>
      </c>
      <c r="R157" s="32">
        <f>Założenia!$E$33</f>
        <v>0.83</v>
      </c>
      <c r="S157" s="32">
        <f>Założenia!$E$33</f>
        <v>0.83</v>
      </c>
      <c r="T157" s="32">
        <f>Założenia!$E$33</f>
        <v>0.83</v>
      </c>
    </row>
    <row r="158" spans="1:35" s="1" customFormat="1" ht="12">
      <c r="A158" s="82" t="s">
        <v>49</v>
      </c>
      <c r="B158" s="95" t="s">
        <v>190</v>
      </c>
      <c r="C158" s="175"/>
      <c r="D158" s="175"/>
      <c r="E158" s="32">
        <f>Założenia!$E$34</f>
        <v>0.87</v>
      </c>
      <c r="F158" s="32">
        <f>Założenia!$E$34</f>
        <v>0.87</v>
      </c>
      <c r="G158" s="32">
        <f>Założenia!$E$34</f>
        <v>0.87</v>
      </c>
      <c r="H158" s="32">
        <f>Założenia!$E$34</f>
        <v>0.87</v>
      </c>
      <c r="I158" s="32">
        <f>Założenia!$E$34</f>
        <v>0.87</v>
      </c>
      <c r="J158" s="32">
        <f>Założenia!$E$34</f>
        <v>0.87</v>
      </c>
      <c r="K158" s="32">
        <f>Założenia!$E$34</f>
        <v>0.87</v>
      </c>
      <c r="L158" s="32">
        <f>Założenia!$E$34</f>
        <v>0.87</v>
      </c>
      <c r="M158" s="32">
        <f>Założenia!$E$34</f>
        <v>0.87</v>
      </c>
      <c r="N158" s="32">
        <f>Założenia!$E$34</f>
        <v>0.87</v>
      </c>
      <c r="O158" s="32">
        <f>Założenia!$E$34</f>
        <v>0.87</v>
      </c>
      <c r="P158" s="32">
        <f>Założenia!$E$34</f>
        <v>0.87</v>
      </c>
      <c r="Q158" s="32">
        <f>Założenia!$E$34</f>
        <v>0.87</v>
      </c>
      <c r="R158" s="32">
        <f>Założenia!$E$34</f>
        <v>0.87</v>
      </c>
      <c r="S158" s="32">
        <f>Założenia!$E$34</f>
        <v>0.87</v>
      </c>
      <c r="T158" s="32">
        <f>Założenia!$E$34</f>
        <v>0.87</v>
      </c>
    </row>
    <row r="159" spans="1:35" s="1" customFormat="1" ht="12">
      <c r="A159" s="82" t="s">
        <v>60</v>
      </c>
      <c r="B159" s="95" t="s">
        <v>93</v>
      </c>
      <c r="C159" s="175" t="s">
        <v>88</v>
      </c>
      <c r="D159" s="175"/>
      <c r="E159" s="32">
        <f>Założenia!$E$35</f>
        <v>0.78</v>
      </c>
      <c r="F159" s="32">
        <f>Założenia!$E$35</f>
        <v>0.78</v>
      </c>
      <c r="G159" s="32">
        <f>Założenia!$E$35</f>
        <v>0.78</v>
      </c>
      <c r="H159" s="32">
        <f>Założenia!$E$35</f>
        <v>0.78</v>
      </c>
      <c r="I159" s="32">
        <f>Założenia!$E$35</f>
        <v>0.78</v>
      </c>
      <c r="J159" s="32">
        <f>Założenia!$E$35</f>
        <v>0.78</v>
      </c>
      <c r="K159" s="32">
        <f>Założenia!$E$35</f>
        <v>0.78</v>
      </c>
      <c r="L159" s="32">
        <f>Założenia!$E$35</f>
        <v>0.78</v>
      </c>
      <c r="M159" s="32">
        <f>Założenia!$E$35</f>
        <v>0.78</v>
      </c>
      <c r="N159" s="32">
        <f>Założenia!$E$35</f>
        <v>0.78</v>
      </c>
      <c r="O159" s="32">
        <f>Założenia!$E$35</f>
        <v>0.78</v>
      </c>
      <c r="P159" s="32">
        <f>Założenia!$E$35</f>
        <v>0.78</v>
      </c>
      <c r="Q159" s="32">
        <f>Założenia!$E$35</f>
        <v>0.78</v>
      </c>
      <c r="R159" s="32">
        <f>Założenia!$E$35</f>
        <v>0.78</v>
      </c>
      <c r="S159" s="32">
        <f>Założenia!$E$35</f>
        <v>0.78</v>
      </c>
      <c r="T159" s="32">
        <f>Założenia!$E$35</f>
        <v>0.78</v>
      </c>
    </row>
    <row r="160" spans="1:35" s="1" customFormat="1" ht="12">
      <c r="A160" s="37" t="s">
        <v>29</v>
      </c>
      <c r="B160" s="101" t="s">
        <v>94</v>
      </c>
      <c r="C160" s="175" t="s">
        <v>0</v>
      </c>
      <c r="D160" s="175"/>
      <c r="E160" s="33">
        <f>E161+E162+E163+E164</f>
        <v>0</v>
      </c>
      <c r="F160" s="33">
        <f t="shared" ref="F160:T160" si="44">F161+F162+F163+F164</f>
        <v>0</v>
      </c>
      <c r="G160" s="33">
        <f t="shared" si="44"/>
        <v>10014733.905830815</v>
      </c>
      <c r="H160" s="33">
        <f t="shared" si="44"/>
        <v>-176797.57770836609</v>
      </c>
      <c r="I160" s="33">
        <f t="shared" si="44"/>
        <v>-178727.32888978254</v>
      </c>
      <c r="J160" s="33">
        <f t="shared" si="44"/>
        <v>471842.91992880101</v>
      </c>
      <c r="K160" s="33">
        <f t="shared" si="44"/>
        <v>-201431.23244795637</v>
      </c>
      <c r="L160" s="33">
        <f t="shared" si="44"/>
        <v>-707105.98978507449</v>
      </c>
      <c r="M160" s="33">
        <f t="shared" si="44"/>
        <v>-187257.31085139356</v>
      </c>
      <c r="N160" s="33">
        <f t="shared" si="44"/>
        <v>-3687721.6289500804</v>
      </c>
      <c r="O160" s="33">
        <f t="shared" si="44"/>
        <v>6941527.0499836002</v>
      </c>
      <c r="P160" s="33">
        <f t="shared" si="44"/>
        <v>-195113.74835860793</v>
      </c>
      <c r="Q160" s="33">
        <f t="shared" si="44"/>
        <v>2362906.9939494645</v>
      </c>
      <c r="R160" s="33">
        <f t="shared" si="44"/>
        <v>-197938.02492931698</v>
      </c>
      <c r="S160" s="33">
        <f t="shared" si="44"/>
        <v>3401710.6540043638</v>
      </c>
      <c r="T160" s="33">
        <f t="shared" si="44"/>
        <v>615920.23414308252</v>
      </c>
    </row>
    <row r="161" spans="1:20" s="1" customFormat="1" ht="12">
      <c r="A161" s="82" t="s">
        <v>50</v>
      </c>
      <c r="B161" s="95" t="s">
        <v>32</v>
      </c>
      <c r="C161" s="175" t="s">
        <v>0</v>
      </c>
      <c r="D161" s="252">
        <f>SUMPRODUCT(E161:T161,$E$174:$T$174)</f>
        <v>15798249.419274889</v>
      </c>
      <c r="E161" s="20">
        <f t="shared" ref="E161:T161" si="45">E102*E158+E103*E157</f>
        <v>0</v>
      </c>
      <c r="F161" s="20">
        <f t="shared" si="45"/>
        <v>0</v>
      </c>
      <c r="G161" s="20">
        <f t="shared" si="45"/>
        <v>10057200</v>
      </c>
      <c r="H161" s="20">
        <f t="shared" si="45"/>
        <v>0</v>
      </c>
      <c r="I161" s="20">
        <f t="shared" si="45"/>
        <v>0</v>
      </c>
      <c r="J161" s="20">
        <f t="shared" si="45"/>
        <v>522000</v>
      </c>
      <c r="K161" s="20">
        <f t="shared" si="45"/>
        <v>0</v>
      </c>
      <c r="L161" s="20">
        <f t="shared" si="45"/>
        <v>-522000</v>
      </c>
      <c r="M161" s="20">
        <f t="shared" si="45"/>
        <v>0</v>
      </c>
      <c r="N161" s="20">
        <f t="shared" si="45"/>
        <v>-3654000</v>
      </c>
      <c r="O161" s="20">
        <f t="shared" si="45"/>
        <v>6977400</v>
      </c>
      <c r="P161" s="20">
        <f t="shared" si="45"/>
        <v>0</v>
      </c>
      <c r="Q161" s="20">
        <f t="shared" si="45"/>
        <v>2644800</v>
      </c>
      <c r="R161" s="20">
        <f t="shared" si="45"/>
        <v>0</v>
      </c>
      <c r="S161" s="20">
        <f t="shared" si="45"/>
        <v>3601800</v>
      </c>
      <c r="T161" s="20">
        <f t="shared" si="45"/>
        <v>-522000</v>
      </c>
    </row>
    <row r="162" spans="1:20" s="1" customFormat="1" ht="12">
      <c r="A162" s="82" t="s">
        <v>51</v>
      </c>
      <c r="B162" s="95" t="s">
        <v>91</v>
      </c>
      <c r="C162" s="175" t="s">
        <v>0</v>
      </c>
      <c r="D162" s="252">
        <f>SUMPRODUCT(E162:T162,$E$174:$T$174)</f>
        <v>-1695515.5103342158</v>
      </c>
      <c r="E162" s="20">
        <f>E153*E159</f>
        <v>0</v>
      </c>
      <c r="F162" s="20">
        <f t="shared" ref="F162:T162" si="46">F153*F159</f>
        <v>0</v>
      </c>
      <c r="G162" s="20">
        <f t="shared" si="46"/>
        <v>-42466.094169184864</v>
      </c>
      <c r="H162" s="20">
        <f t="shared" si="46"/>
        <v>-176797.57770836609</v>
      </c>
      <c r="I162" s="20">
        <f t="shared" si="46"/>
        <v>-178727.32888978254</v>
      </c>
      <c r="J162" s="20">
        <f t="shared" si="46"/>
        <v>-180657.08007119902</v>
      </c>
      <c r="K162" s="20">
        <f t="shared" si="46"/>
        <v>-201431.23244795637</v>
      </c>
      <c r="L162" s="20">
        <f t="shared" si="46"/>
        <v>-185105.98978507446</v>
      </c>
      <c r="M162" s="20">
        <f t="shared" si="46"/>
        <v>-187257.31085139356</v>
      </c>
      <c r="N162" s="20">
        <f t="shared" si="46"/>
        <v>-33721.628950080427</v>
      </c>
      <c r="O162" s="20">
        <f t="shared" si="46"/>
        <v>-35872.950016399533</v>
      </c>
      <c r="P162" s="20">
        <f t="shared" si="46"/>
        <v>-195113.74835860793</v>
      </c>
      <c r="Q162" s="20">
        <f t="shared" si="46"/>
        <v>-151393.00605053551</v>
      </c>
      <c r="R162" s="20">
        <f t="shared" si="46"/>
        <v>-197938.02492931698</v>
      </c>
      <c r="S162" s="20">
        <f t="shared" si="46"/>
        <v>-200089.34599563607</v>
      </c>
      <c r="T162" s="20">
        <f t="shared" si="46"/>
        <v>-226353.93862105632</v>
      </c>
    </row>
    <row r="163" spans="1:20" s="1" customFormat="1" ht="12">
      <c r="A163" s="82" t="s">
        <v>57</v>
      </c>
      <c r="B163" s="95" t="s">
        <v>59</v>
      </c>
      <c r="C163" s="175" t="s">
        <v>0</v>
      </c>
      <c r="D163" s="252">
        <f>SUMPRODUCT(E163:T163,$E$174:$T$174)</f>
        <v>21040.371996950402</v>
      </c>
      <c r="E163" s="20">
        <f>E154*E158</f>
        <v>0</v>
      </c>
      <c r="F163" s="20">
        <f t="shared" ref="F163:T163" si="47">F154*F158</f>
        <v>0</v>
      </c>
      <c r="G163" s="20">
        <f t="shared" si="47"/>
        <v>0</v>
      </c>
      <c r="H163" s="20">
        <f t="shared" si="47"/>
        <v>0</v>
      </c>
      <c r="I163" s="20">
        <f t="shared" si="47"/>
        <v>0</v>
      </c>
      <c r="J163" s="20">
        <f t="shared" si="47"/>
        <v>130500</v>
      </c>
      <c r="K163" s="20">
        <f t="shared" si="47"/>
        <v>0</v>
      </c>
      <c r="L163" s="20">
        <f t="shared" si="47"/>
        <v>0</v>
      </c>
      <c r="M163" s="20">
        <f t="shared" si="47"/>
        <v>0</v>
      </c>
      <c r="N163" s="20">
        <f t="shared" si="47"/>
        <v>0</v>
      </c>
      <c r="O163" s="20">
        <f t="shared" si="47"/>
        <v>0</v>
      </c>
      <c r="P163" s="20">
        <f t="shared" si="47"/>
        <v>0</v>
      </c>
      <c r="Q163" s="20">
        <f t="shared" si="47"/>
        <v>-130500</v>
      </c>
      <c r="R163" s="20">
        <f t="shared" si="47"/>
        <v>0</v>
      </c>
      <c r="S163" s="20">
        <f t="shared" si="47"/>
        <v>0</v>
      </c>
      <c r="T163" s="20">
        <f t="shared" si="47"/>
        <v>0</v>
      </c>
    </row>
    <row r="164" spans="1:20" s="1" customFormat="1" ht="12">
      <c r="A164" s="82" t="s">
        <v>201</v>
      </c>
      <c r="B164" s="95" t="s">
        <v>52</v>
      </c>
      <c r="C164" s="175" t="s">
        <v>0</v>
      </c>
      <c r="D164" s="252">
        <f>SUMPRODUCT(E164:T164,$E$174:$T$174)</f>
        <v>875675.67731343617</v>
      </c>
      <c r="E164" s="20">
        <f t="shared" ref="E164:T164" si="48">E155</f>
        <v>0</v>
      </c>
      <c r="F164" s="20">
        <f t="shared" si="48"/>
        <v>0</v>
      </c>
      <c r="G164" s="20">
        <f t="shared" si="48"/>
        <v>0</v>
      </c>
      <c r="H164" s="20">
        <f t="shared" si="48"/>
        <v>0</v>
      </c>
      <c r="I164" s="20">
        <f t="shared" si="48"/>
        <v>0</v>
      </c>
      <c r="J164" s="20">
        <f t="shared" si="48"/>
        <v>0</v>
      </c>
      <c r="K164" s="20">
        <f t="shared" si="48"/>
        <v>0</v>
      </c>
      <c r="L164" s="20">
        <f t="shared" si="48"/>
        <v>0</v>
      </c>
      <c r="M164" s="20">
        <f t="shared" si="48"/>
        <v>0</v>
      </c>
      <c r="N164" s="20">
        <f t="shared" si="48"/>
        <v>0</v>
      </c>
      <c r="O164" s="20">
        <f t="shared" si="48"/>
        <v>0</v>
      </c>
      <c r="P164" s="20">
        <f t="shared" si="48"/>
        <v>0</v>
      </c>
      <c r="Q164" s="20">
        <f t="shared" si="48"/>
        <v>0</v>
      </c>
      <c r="R164" s="20">
        <f t="shared" si="48"/>
        <v>0</v>
      </c>
      <c r="S164" s="20">
        <f t="shared" si="48"/>
        <v>0</v>
      </c>
      <c r="T164" s="20">
        <f t="shared" si="48"/>
        <v>1364274.1727641388</v>
      </c>
    </row>
    <row r="165" spans="1:20" s="1" customFormat="1" ht="12">
      <c r="A165" s="37" t="s">
        <v>30</v>
      </c>
      <c r="B165" s="101" t="s">
        <v>95</v>
      </c>
      <c r="C165" s="175" t="s">
        <v>0</v>
      </c>
      <c r="D165" s="254">
        <f>SUM(E165:T165)</f>
        <v>26721.256897238476</v>
      </c>
      <c r="E165" s="19">
        <f>E166+E167+E168</f>
        <v>0</v>
      </c>
      <c r="F165" s="19">
        <f t="shared" ref="F165:T165" si="49">F166+F167+F168</f>
        <v>0</v>
      </c>
      <c r="G165" s="19">
        <f t="shared" si="49"/>
        <v>0</v>
      </c>
      <c r="H165" s="19">
        <f t="shared" si="49"/>
        <v>0</v>
      </c>
      <c r="I165" s="19">
        <f t="shared" si="49"/>
        <v>0</v>
      </c>
      <c r="J165" s="19">
        <f t="shared" si="49"/>
        <v>0</v>
      </c>
      <c r="K165" s="19">
        <f t="shared" si="49"/>
        <v>26721.256897238476</v>
      </c>
      <c r="L165" s="19">
        <f t="shared" si="49"/>
        <v>0</v>
      </c>
      <c r="M165" s="19">
        <f t="shared" si="49"/>
        <v>0</v>
      </c>
      <c r="N165" s="19">
        <f t="shared" si="49"/>
        <v>0</v>
      </c>
      <c r="O165" s="19">
        <f t="shared" si="49"/>
        <v>0</v>
      </c>
      <c r="P165" s="19">
        <f t="shared" si="49"/>
        <v>0</v>
      </c>
      <c r="Q165" s="19">
        <f t="shared" si="49"/>
        <v>0</v>
      </c>
      <c r="R165" s="19">
        <f t="shared" si="49"/>
        <v>0</v>
      </c>
      <c r="S165" s="19">
        <f t="shared" si="49"/>
        <v>0</v>
      </c>
      <c r="T165" s="19">
        <f t="shared" si="49"/>
        <v>0</v>
      </c>
    </row>
    <row r="166" spans="1:20" s="1" customFormat="1" ht="14.25" customHeight="1">
      <c r="A166" s="82" t="s">
        <v>87</v>
      </c>
      <c r="B166" s="106" t="s">
        <v>98</v>
      </c>
      <c r="C166" s="175" t="s">
        <v>0</v>
      </c>
      <c r="D166" s="252">
        <f>SUMPRODUCT(E166:T166,$E$174:$T$174)</f>
        <v>22271.173741266452</v>
      </c>
      <c r="E166" s="20">
        <f>-(E58-'Scenariusz bazowy'!E58)</f>
        <v>0</v>
      </c>
      <c r="F166" s="20">
        <f>-(F58-'Scenariusz bazowy'!F58)</f>
        <v>0</v>
      </c>
      <c r="G166" s="20">
        <f>-(G58-'Scenariusz bazowy'!G58)</f>
        <v>0</v>
      </c>
      <c r="H166" s="20">
        <f>-(H58-'Scenariusz bazowy'!H58)</f>
        <v>0</v>
      </c>
      <c r="I166" s="20">
        <f>-(I58-'Scenariusz bazowy'!I58)</f>
        <v>0</v>
      </c>
      <c r="J166" s="20">
        <f>-(J58-'Scenariusz bazowy'!J58)</f>
        <v>0</v>
      </c>
      <c r="K166" s="20">
        <f>-(K58-'Scenariusz bazowy'!K58)</f>
        <v>26592.946152155564</v>
      </c>
      <c r="L166" s="20">
        <f>-(L58-'Scenariusz bazowy'!L58)</f>
        <v>0</v>
      </c>
      <c r="M166" s="20">
        <f>-(M58-'Scenariusz bazowy'!M58)</f>
        <v>0</v>
      </c>
      <c r="N166" s="20">
        <f>-(N58-'Scenariusz bazowy'!N58)</f>
        <v>0</v>
      </c>
      <c r="O166" s="20">
        <f>-(O58-'Scenariusz bazowy'!O58)</f>
        <v>0</v>
      </c>
      <c r="P166" s="20">
        <f>-(P58-'Scenariusz bazowy'!P58)</f>
        <v>0</v>
      </c>
      <c r="Q166" s="20">
        <f>-(Q58-'Scenariusz bazowy'!Q58)</f>
        <v>0</v>
      </c>
      <c r="R166" s="20">
        <f>-(R58-'Scenariusz bazowy'!R58)</f>
        <v>0</v>
      </c>
      <c r="S166" s="20">
        <f>-(S58-'Scenariusz bazowy'!S58)</f>
        <v>0</v>
      </c>
      <c r="T166" s="20">
        <f>-(T58-'Scenariusz bazowy'!T58)</f>
        <v>0</v>
      </c>
    </row>
    <row r="167" spans="1:20" s="1" customFormat="1" ht="12">
      <c r="A167" s="82" t="s">
        <v>99</v>
      </c>
      <c r="B167" s="106" t="s">
        <v>96</v>
      </c>
      <c r="C167" s="175" t="s">
        <v>0</v>
      </c>
      <c r="D167" s="252">
        <f>SUMPRODUCT(E167:T167,$E$174:$T$174)</f>
        <v>-2776.2003900740992</v>
      </c>
      <c r="E167" s="20">
        <f>-(E42-'Scenariusz bazowy'!E42)</f>
        <v>0</v>
      </c>
      <c r="F167" s="20">
        <f>-(F42-'Scenariusz bazowy'!F42)</f>
        <v>0</v>
      </c>
      <c r="G167" s="20">
        <f>-(G42-'Scenariusz bazowy'!G42)</f>
        <v>0</v>
      </c>
      <c r="H167" s="20">
        <f>-(H42-'Scenariusz bazowy'!H42)</f>
        <v>0</v>
      </c>
      <c r="I167" s="20">
        <f>-(I42-'Scenariusz bazowy'!I42)</f>
        <v>0</v>
      </c>
      <c r="J167" s="20">
        <f>-(J42-'Scenariusz bazowy'!J42)</f>
        <v>0</v>
      </c>
      <c r="K167" s="20">
        <f>-(K42-'Scenariusz bazowy'!K42)</f>
        <v>-3314.9284513926832</v>
      </c>
      <c r="L167" s="20">
        <f>-(L42-'Scenariusz bazowy'!L42)</f>
        <v>0</v>
      </c>
      <c r="M167" s="20">
        <f>-(M42-'Scenariusz bazowy'!M42)</f>
        <v>0</v>
      </c>
      <c r="N167" s="20">
        <f>-(N42-'Scenariusz bazowy'!N42)</f>
        <v>0</v>
      </c>
      <c r="O167" s="20">
        <f>-(O42-'Scenariusz bazowy'!O42)</f>
        <v>0</v>
      </c>
      <c r="P167" s="20">
        <f>-(P42-'Scenariusz bazowy'!P42)</f>
        <v>0</v>
      </c>
      <c r="Q167" s="20">
        <f>-(Q42-'Scenariusz bazowy'!Q42)</f>
        <v>0</v>
      </c>
      <c r="R167" s="20">
        <f>-(R42-'Scenariusz bazowy'!R42)</f>
        <v>0</v>
      </c>
      <c r="S167" s="20">
        <f>-(S42-'Scenariusz bazowy'!S42)</f>
        <v>0</v>
      </c>
      <c r="T167" s="20">
        <f>-(T42-'Scenariusz bazowy'!T42)</f>
        <v>0</v>
      </c>
    </row>
    <row r="168" spans="1:20" s="1" customFormat="1" ht="12">
      <c r="A168" s="82" t="s">
        <v>100</v>
      </c>
      <c r="B168" s="106" t="s">
        <v>97</v>
      </c>
      <c r="C168" s="175" t="s">
        <v>0</v>
      </c>
      <c r="D168" s="252">
        <f>SUMPRODUCT(E168:T168,$E$174:$T$174)</f>
        <v>2883.6586190443877</v>
      </c>
      <c r="E168" s="20">
        <f>-(E86-'Scenariusz bazowy'!E86)</f>
        <v>0</v>
      </c>
      <c r="F168" s="20">
        <f>-(F86-'Scenariusz bazowy'!F86)</f>
        <v>0</v>
      </c>
      <c r="G168" s="20">
        <f>-(G86-'Scenariusz bazowy'!G86)</f>
        <v>0</v>
      </c>
      <c r="H168" s="20">
        <f>-(H86-'Scenariusz bazowy'!H86)</f>
        <v>0</v>
      </c>
      <c r="I168" s="20">
        <f>-(I86-'Scenariusz bazowy'!I86)</f>
        <v>0</v>
      </c>
      <c r="J168" s="20">
        <f>-(J86-'Scenariusz bazowy'!J86)</f>
        <v>0</v>
      </c>
      <c r="K168" s="20">
        <f>-(K86-'Scenariusz bazowy'!K86)</f>
        <v>3443.2391964755952</v>
      </c>
      <c r="L168" s="20">
        <f>-(L86-'Scenariusz bazowy'!L86)</f>
        <v>0</v>
      </c>
      <c r="M168" s="20">
        <f>-(M86-'Scenariusz bazowy'!M86)</f>
        <v>0</v>
      </c>
      <c r="N168" s="20">
        <f>-(N86-'Scenariusz bazowy'!N86)</f>
        <v>0</v>
      </c>
      <c r="O168" s="20">
        <f>-(O86-'Scenariusz bazowy'!O86)</f>
        <v>0</v>
      </c>
      <c r="P168" s="20">
        <f>-(P86-'Scenariusz bazowy'!P86)</f>
        <v>0</v>
      </c>
      <c r="Q168" s="20">
        <f>-(Q86-'Scenariusz bazowy'!Q86)</f>
        <v>0</v>
      </c>
      <c r="R168" s="20">
        <f>-(R86-'Scenariusz bazowy'!R86)</f>
        <v>0</v>
      </c>
      <c r="S168" s="20">
        <f>-(S86-'Scenariusz bazowy'!S86)</f>
        <v>0</v>
      </c>
      <c r="T168" s="20">
        <f>-(T86-'Scenariusz bazowy'!T86)</f>
        <v>0</v>
      </c>
    </row>
    <row r="169" spans="1:20" s="11" customFormat="1" ht="12">
      <c r="A169" s="37" t="s">
        <v>31</v>
      </c>
      <c r="B169" s="101" t="s">
        <v>101</v>
      </c>
      <c r="C169" s="253" t="s">
        <v>0</v>
      </c>
      <c r="D169" s="253"/>
      <c r="E169" s="19">
        <f>-E170+E171+E172+E173</f>
        <v>0</v>
      </c>
      <c r="F169" s="19">
        <f t="shared" ref="F169:T169" si="50">-F170+F171+F172+F173</f>
        <v>0</v>
      </c>
      <c r="G169" s="19">
        <f t="shared" si="50"/>
        <v>-10014733.905830815</v>
      </c>
      <c r="H169" s="19">
        <f t="shared" si="50"/>
        <v>176797.57770836609</v>
      </c>
      <c r="I169" s="19">
        <f t="shared" si="50"/>
        <v>178727.32888978254</v>
      </c>
      <c r="J169" s="19">
        <f t="shared" si="50"/>
        <v>-471842.91992880101</v>
      </c>
      <c r="K169" s="19">
        <f t="shared" si="50"/>
        <v>228152.48934519483</v>
      </c>
      <c r="L169" s="19">
        <f t="shared" si="50"/>
        <v>707105.98978507449</v>
      </c>
      <c r="M169" s="19">
        <f t="shared" si="50"/>
        <v>187257.31085139356</v>
      </c>
      <c r="N169" s="19">
        <f t="shared" si="50"/>
        <v>3687721.6289500804</v>
      </c>
      <c r="O169" s="19">
        <f t="shared" si="50"/>
        <v>-6941527.0499836002</v>
      </c>
      <c r="P169" s="19">
        <f t="shared" si="50"/>
        <v>195113.74835860793</v>
      </c>
      <c r="Q169" s="19">
        <f t="shared" si="50"/>
        <v>-2362906.9939494645</v>
      </c>
      <c r="R169" s="19">
        <f t="shared" si="50"/>
        <v>197938.02492931698</v>
      </c>
      <c r="S169" s="19">
        <f t="shared" si="50"/>
        <v>-3401710.6540043638</v>
      </c>
      <c r="T169" s="19">
        <f t="shared" si="50"/>
        <v>2112628.1113851951</v>
      </c>
    </row>
    <row r="170" spans="1:20" s="11" customFormat="1" ht="12">
      <c r="A170" s="82" t="s">
        <v>106</v>
      </c>
      <c r="B170" s="95" t="s">
        <v>109</v>
      </c>
      <c r="C170" s="175" t="s">
        <v>0</v>
      </c>
      <c r="D170" s="253"/>
      <c r="E170" s="20">
        <f>E161+E162+E163</f>
        <v>0</v>
      </c>
      <c r="F170" s="20">
        <f t="shared" ref="F170:T170" si="51">F161+F162+F163</f>
        <v>0</v>
      </c>
      <c r="G170" s="20">
        <f t="shared" si="51"/>
        <v>10014733.905830815</v>
      </c>
      <c r="H170" s="20">
        <f t="shared" si="51"/>
        <v>-176797.57770836609</v>
      </c>
      <c r="I170" s="20">
        <f t="shared" si="51"/>
        <v>-178727.32888978254</v>
      </c>
      <c r="J170" s="20">
        <f t="shared" si="51"/>
        <v>471842.91992880101</v>
      </c>
      <c r="K170" s="20">
        <f t="shared" si="51"/>
        <v>-201431.23244795637</v>
      </c>
      <c r="L170" s="20">
        <f t="shared" si="51"/>
        <v>-707105.98978507449</v>
      </c>
      <c r="M170" s="20">
        <f t="shared" si="51"/>
        <v>-187257.31085139356</v>
      </c>
      <c r="N170" s="20">
        <f t="shared" si="51"/>
        <v>-3687721.6289500804</v>
      </c>
      <c r="O170" s="20">
        <f t="shared" si="51"/>
        <v>6941527.0499836002</v>
      </c>
      <c r="P170" s="20">
        <f t="shared" si="51"/>
        <v>-195113.74835860793</v>
      </c>
      <c r="Q170" s="20">
        <f t="shared" si="51"/>
        <v>2362906.9939494645</v>
      </c>
      <c r="R170" s="20">
        <f t="shared" si="51"/>
        <v>-197938.02492931698</v>
      </c>
      <c r="S170" s="20">
        <f t="shared" si="51"/>
        <v>3401710.6540043638</v>
      </c>
      <c r="T170" s="20">
        <f t="shared" si="51"/>
        <v>-748353.93862105627</v>
      </c>
    </row>
    <row r="171" spans="1:20" s="11" customFormat="1" ht="12">
      <c r="A171" s="82" t="s">
        <v>107</v>
      </c>
      <c r="B171" s="95" t="s">
        <v>52</v>
      </c>
      <c r="C171" s="175" t="s">
        <v>0</v>
      </c>
      <c r="D171" s="253"/>
      <c r="E171" s="20">
        <f t="shared" ref="E171:T171" si="52">E164</f>
        <v>0</v>
      </c>
      <c r="F171" s="20">
        <f t="shared" si="52"/>
        <v>0</v>
      </c>
      <c r="G171" s="20">
        <f t="shared" si="52"/>
        <v>0</v>
      </c>
      <c r="H171" s="20">
        <f t="shared" si="52"/>
        <v>0</v>
      </c>
      <c r="I171" s="20">
        <f t="shared" si="52"/>
        <v>0</v>
      </c>
      <c r="J171" s="20">
        <f t="shared" si="52"/>
        <v>0</v>
      </c>
      <c r="K171" s="20">
        <f t="shared" si="52"/>
        <v>0</v>
      </c>
      <c r="L171" s="20">
        <f t="shared" si="52"/>
        <v>0</v>
      </c>
      <c r="M171" s="20">
        <f t="shared" si="52"/>
        <v>0</v>
      </c>
      <c r="N171" s="20">
        <f t="shared" si="52"/>
        <v>0</v>
      </c>
      <c r="O171" s="20">
        <f t="shared" si="52"/>
        <v>0</v>
      </c>
      <c r="P171" s="20">
        <f t="shared" si="52"/>
        <v>0</v>
      </c>
      <c r="Q171" s="20">
        <f t="shared" si="52"/>
        <v>0</v>
      </c>
      <c r="R171" s="20">
        <f t="shared" si="52"/>
        <v>0</v>
      </c>
      <c r="S171" s="20">
        <f t="shared" si="52"/>
        <v>0</v>
      </c>
      <c r="T171" s="20">
        <f t="shared" si="52"/>
        <v>1364274.1727641388</v>
      </c>
    </row>
    <row r="172" spans="1:20" s="11" customFormat="1" ht="12">
      <c r="A172" s="82" t="s">
        <v>110</v>
      </c>
      <c r="B172" s="95" t="s">
        <v>104</v>
      </c>
      <c r="C172" s="175" t="s">
        <v>0</v>
      </c>
      <c r="D172" s="253"/>
      <c r="E172" s="20">
        <f t="shared" ref="E172:T172" si="53">SUMIF(E166:E168,"&gt;0")</f>
        <v>0</v>
      </c>
      <c r="F172" s="20">
        <f t="shared" si="53"/>
        <v>0</v>
      </c>
      <c r="G172" s="20">
        <f t="shared" si="53"/>
        <v>0</v>
      </c>
      <c r="H172" s="20">
        <f t="shared" si="53"/>
        <v>0</v>
      </c>
      <c r="I172" s="20">
        <f t="shared" si="53"/>
        <v>0</v>
      </c>
      <c r="J172" s="20">
        <f t="shared" si="53"/>
        <v>0</v>
      </c>
      <c r="K172" s="20">
        <f t="shared" si="53"/>
        <v>30036.185348631159</v>
      </c>
      <c r="L172" s="20">
        <f t="shared" si="53"/>
        <v>0</v>
      </c>
      <c r="M172" s="20">
        <f t="shared" si="53"/>
        <v>0</v>
      </c>
      <c r="N172" s="20">
        <f t="shared" si="53"/>
        <v>0</v>
      </c>
      <c r="O172" s="20">
        <f t="shared" si="53"/>
        <v>0</v>
      </c>
      <c r="P172" s="20">
        <f t="shared" si="53"/>
        <v>0</v>
      </c>
      <c r="Q172" s="20">
        <f t="shared" si="53"/>
        <v>0</v>
      </c>
      <c r="R172" s="20">
        <f t="shared" si="53"/>
        <v>0</v>
      </c>
      <c r="S172" s="20">
        <f t="shared" si="53"/>
        <v>0</v>
      </c>
      <c r="T172" s="20">
        <f t="shared" si="53"/>
        <v>0</v>
      </c>
    </row>
    <row r="173" spans="1:20" s="11" customFormat="1" ht="12">
      <c r="A173" s="82" t="s">
        <v>111</v>
      </c>
      <c r="B173" s="95" t="s">
        <v>105</v>
      </c>
      <c r="C173" s="175" t="s">
        <v>0</v>
      </c>
      <c r="D173" s="253"/>
      <c r="E173" s="20">
        <f t="shared" ref="E173:T173" si="54">SUMIF(E166:E168,"&lt;0")</f>
        <v>0</v>
      </c>
      <c r="F173" s="20">
        <f t="shared" si="54"/>
        <v>0</v>
      </c>
      <c r="G173" s="20">
        <f t="shared" si="54"/>
        <v>0</v>
      </c>
      <c r="H173" s="20">
        <f t="shared" si="54"/>
        <v>0</v>
      </c>
      <c r="I173" s="20">
        <f t="shared" si="54"/>
        <v>0</v>
      </c>
      <c r="J173" s="20">
        <f t="shared" si="54"/>
        <v>0</v>
      </c>
      <c r="K173" s="20">
        <f t="shared" si="54"/>
        <v>-3314.9284513926832</v>
      </c>
      <c r="L173" s="20">
        <f t="shared" si="54"/>
        <v>0</v>
      </c>
      <c r="M173" s="20">
        <f t="shared" si="54"/>
        <v>0</v>
      </c>
      <c r="N173" s="20">
        <f t="shared" si="54"/>
        <v>0</v>
      </c>
      <c r="O173" s="20">
        <f t="shared" si="54"/>
        <v>0</v>
      </c>
      <c r="P173" s="20">
        <f t="shared" si="54"/>
        <v>0</v>
      </c>
      <c r="Q173" s="20">
        <f t="shared" si="54"/>
        <v>0</v>
      </c>
      <c r="R173" s="20">
        <f t="shared" si="54"/>
        <v>0</v>
      </c>
      <c r="S173" s="20">
        <f t="shared" si="54"/>
        <v>0</v>
      </c>
      <c r="T173" s="20">
        <f t="shared" si="54"/>
        <v>0</v>
      </c>
    </row>
    <row r="174" spans="1:20" s="1" customFormat="1" ht="12">
      <c r="A174" s="37" t="s">
        <v>35</v>
      </c>
      <c r="B174" s="101" t="s">
        <v>86</v>
      </c>
      <c r="C174" s="175" t="s">
        <v>88</v>
      </c>
      <c r="D174" s="175"/>
      <c r="E174" s="29">
        <v>1</v>
      </c>
      <c r="F174" s="29">
        <f t="shared" ref="F174:T174" si="55">(1/(1+F175)^F150)</f>
        <v>0.970873786407767</v>
      </c>
      <c r="G174" s="29">
        <f t="shared" si="55"/>
        <v>0.94259590913375435</v>
      </c>
      <c r="H174" s="29">
        <f t="shared" si="55"/>
        <v>0.91514165935315961</v>
      </c>
      <c r="I174" s="29">
        <f t="shared" si="55"/>
        <v>0.888487047915689</v>
      </c>
      <c r="J174" s="29">
        <f t="shared" si="55"/>
        <v>0.86260878438416411</v>
      </c>
      <c r="K174" s="29">
        <f t="shared" si="55"/>
        <v>0.83748425668365445</v>
      </c>
      <c r="L174" s="29">
        <f t="shared" si="55"/>
        <v>0.81309151134335378</v>
      </c>
      <c r="M174" s="29">
        <f t="shared" si="55"/>
        <v>0.78940923431393573</v>
      </c>
      <c r="N174" s="29">
        <f t="shared" si="55"/>
        <v>0.76641673234362695</v>
      </c>
      <c r="O174" s="29">
        <f t="shared" si="55"/>
        <v>0.74409391489672516</v>
      </c>
      <c r="P174" s="29">
        <f t="shared" si="55"/>
        <v>0.72242127659876232</v>
      </c>
      <c r="Q174" s="29">
        <f t="shared" si="55"/>
        <v>0.70137988019297326</v>
      </c>
      <c r="R174" s="29">
        <f t="shared" si="55"/>
        <v>0.68095133999317792</v>
      </c>
      <c r="S174" s="29">
        <f t="shared" si="55"/>
        <v>0.66111780581861923</v>
      </c>
      <c r="T174" s="29">
        <f t="shared" si="55"/>
        <v>0.64186194739671765</v>
      </c>
    </row>
    <row r="175" spans="1:20" s="1" customFormat="1" ht="12">
      <c r="A175" s="82" t="s">
        <v>108</v>
      </c>
      <c r="B175" s="95" t="s">
        <v>102</v>
      </c>
      <c r="C175" s="175" t="s">
        <v>1</v>
      </c>
      <c r="D175" s="175"/>
      <c r="E175" s="30">
        <f>Założenia!E17</f>
        <v>0.03</v>
      </c>
      <c r="F175" s="30">
        <f>Założenia!F17</f>
        <v>0.03</v>
      </c>
      <c r="G175" s="30">
        <f>Założenia!G17</f>
        <v>0.03</v>
      </c>
      <c r="H175" s="30">
        <f>Założenia!H17</f>
        <v>0.03</v>
      </c>
      <c r="I175" s="30">
        <f>Założenia!I17</f>
        <v>0.03</v>
      </c>
      <c r="J175" s="30">
        <f>Założenia!J17</f>
        <v>0.03</v>
      </c>
      <c r="K175" s="30">
        <f>Założenia!K17</f>
        <v>0.03</v>
      </c>
      <c r="L175" s="30">
        <f>Założenia!L17</f>
        <v>0.03</v>
      </c>
      <c r="M175" s="30">
        <f>Założenia!M17</f>
        <v>0.03</v>
      </c>
      <c r="N175" s="30">
        <f>Założenia!N17</f>
        <v>0.03</v>
      </c>
      <c r="O175" s="30">
        <f>Założenia!O17</f>
        <v>0.03</v>
      </c>
      <c r="P175" s="30">
        <f>Założenia!P17</f>
        <v>0.03</v>
      </c>
      <c r="Q175" s="30">
        <f>Założenia!Q17</f>
        <v>0.03</v>
      </c>
      <c r="R175" s="30">
        <f>Założenia!R17</f>
        <v>0.03</v>
      </c>
      <c r="S175" s="30">
        <f>Założenia!S17</f>
        <v>0.03</v>
      </c>
      <c r="T175" s="30">
        <f>Założenia!T17</f>
        <v>0.03</v>
      </c>
    </row>
    <row r="176" spans="1:20" s="11" customFormat="1" ht="12">
      <c r="A176" s="37" t="s">
        <v>36</v>
      </c>
      <c r="B176" s="101" t="s">
        <v>103</v>
      </c>
      <c r="C176" s="253" t="s">
        <v>0</v>
      </c>
      <c r="D176" s="253"/>
      <c r="E176" s="99">
        <f>E169*E174</f>
        <v>0</v>
      </c>
      <c r="F176" s="99">
        <f>F169*F174</f>
        <v>0</v>
      </c>
      <c r="G176" s="99">
        <f>G169*G174</f>
        <v>-9439847.2106992323</v>
      </c>
      <c r="H176" s="99">
        <f t="shared" ref="H176:T176" si="56">H169*H174</f>
        <v>161794.82863365332</v>
      </c>
      <c r="I176" s="99">
        <f t="shared" si="56"/>
        <v>158796.91682713933</v>
      </c>
      <c r="J176" s="99">
        <f t="shared" si="56"/>
        <v>-407015.84758005751</v>
      </c>
      <c r="K176" s="99">
        <f t="shared" si="56"/>
        <v>191074.1179497859</v>
      </c>
      <c r="L176" s="99">
        <f t="shared" si="56"/>
        <v>574941.87791428424</v>
      </c>
      <c r="M176" s="99">
        <f t="shared" si="56"/>
        <v>147822.65037888524</v>
      </c>
      <c r="N176" s="99">
        <f t="shared" si="56"/>
        <v>2826331.5606528376</v>
      </c>
      <c r="O176" s="99">
        <f t="shared" si="56"/>
        <v>-5165148.0379838124</v>
      </c>
      <c r="P176" s="99">
        <f t="shared" si="56"/>
        <v>140954.3231711952</v>
      </c>
      <c r="Q176" s="99">
        <f t="shared" si="56"/>
        <v>-1657295.424323414</v>
      </c>
      <c r="R176" s="99">
        <f t="shared" si="56"/>
        <v>134786.16331122146</v>
      </c>
      <c r="S176" s="99">
        <f t="shared" si="56"/>
        <v>-2248931.4836051851</v>
      </c>
      <c r="T176" s="99">
        <f t="shared" si="56"/>
        <v>1356015.5936987509</v>
      </c>
    </row>
    <row r="177" spans="1:22" s="28" customFormat="1" ht="12">
      <c r="A177" s="37" t="s">
        <v>37</v>
      </c>
      <c r="B177" s="100" t="s">
        <v>67</v>
      </c>
      <c r="C177" s="90" t="s">
        <v>0</v>
      </c>
      <c r="D177" s="90"/>
      <c r="E177" s="146">
        <f>SUM(E176:T176)</f>
        <v>-13225719.971653951</v>
      </c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</row>
    <row r="178" spans="1:22" s="28" customFormat="1" ht="12">
      <c r="A178" s="37" t="s">
        <v>38</v>
      </c>
      <c r="B178" s="100" t="s">
        <v>89</v>
      </c>
      <c r="C178" s="90" t="s">
        <v>1</v>
      </c>
      <c r="D178" s="90"/>
      <c r="E178" s="278" t="str">
        <f>IFERROR(IRR(E169:T169),"niepoliczalna")</f>
        <v>niepoliczalna</v>
      </c>
      <c r="F178" s="410" t="s">
        <v>386</v>
      </c>
      <c r="G178" s="103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</row>
    <row r="179" spans="1:22" s="28" customFormat="1" ht="12">
      <c r="A179" s="37" t="s">
        <v>39</v>
      </c>
      <c r="B179" s="100" t="s">
        <v>65</v>
      </c>
      <c r="C179" s="90" t="s">
        <v>88</v>
      </c>
      <c r="D179" s="90"/>
      <c r="E179" s="108">
        <f>(D164-D162+D166+D168-D163)/(D161-D167)</f>
        <v>0.16298344866968312</v>
      </c>
      <c r="F179" s="102"/>
      <c r="G179" s="103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</row>
    <row r="180" spans="1:22" s="28" customFormat="1" ht="12">
      <c r="A180" s="37"/>
      <c r="B180" s="105"/>
      <c r="C180" s="22"/>
      <c r="D180" s="22"/>
      <c r="E180" s="104"/>
      <c r="F180" s="102"/>
      <c r="G180" s="103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</row>
    <row r="181" spans="1:22" s="1" customFormat="1">
      <c r="A181" s="53"/>
      <c r="B181" s="63"/>
      <c r="C181" s="40"/>
      <c r="D181" s="40"/>
      <c r="E181" s="40"/>
      <c r="F181" s="54"/>
      <c r="G181" s="40"/>
      <c r="H181" s="44"/>
      <c r="I181" s="45"/>
    </row>
    <row r="182" spans="1:22" s="1" customFormat="1">
      <c r="A182" s="53"/>
      <c r="B182" s="63"/>
      <c r="C182" s="40"/>
      <c r="D182" s="40"/>
      <c r="E182" s="40"/>
      <c r="F182" s="54"/>
      <c r="G182" s="40"/>
      <c r="H182" s="44"/>
      <c r="I182"/>
    </row>
    <row r="183" spans="1:22" s="1" customFormat="1" ht="13.5" thickBot="1">
      <c r="A183" s="53"/>
      <c r="B183" s="73" t="s">
        <v>239</v>
      </c>
      <c r="C183" s="112" t="s">
        <v>240</v>
      </c>
      <c r="D183" s="112" t="s">
        <v>0</v>
      </c>
      <c r="E183" s="112" t="s">
        <v>241</v>
      </c>
      <c r="F183" s="112">
        <f t="shared" ref="F183:U183" si="57">E5</f>
        <v>2024</v>
      </c>
      <c r="G183" s="112">
        <f t="shared" si="57"/>
        <v>2025</v>
      </c>
      <c r="H183" s="112">
        <f t="shared" si="57"/>
        <v>2026</v>
      </c>
      <c r="I183" s="112">
        <f t="shared" si="57"/>
        <v>2027</v>
      </c>
      <c r="J183" s="112">
        <f t="shared" si="57"/>
        <v>2028</v>
      </c>
      <c r="K183" s="112">
        <f t="shared" si="57"/>
        <v>2029</v>
      </c>
      <c r="L183" s="112">
        <f t="shared" si="57"/>
        <v>2030</v>
      </c>
      <c r="M183" s="112">
        <f t="shared" si="57"/>
        <v>2031</v>
      </c>
      <c r="N183" s="112">
        <f t="shared" si="57"/>
        <v>2032</v>
      </c>
      <c r="O183" s="112">
        <f t="shared" si="57"/>
        <v>2033</v>
      </c>
      <c r="P183" s="112">
        <f t="shared" si="57"/>
        <v>2034</v>
      </c>
      <c r="Q183" s="112">
        <f t="shared" si="57"/>
        <v>2035</v>
      </c>
      <c r="R183" s="112">
        <f t="shared" si="57"/>
        <v>2036</v>
      </c>
      <c r="S183" s="112">
        <f t="shared" si="57"/>
        <v>2037</v>
      </c>
      <c r="T183" s="112">
        <f t="shared" si="57"/>
        <v>2038</v>
      </c>
      <c r="U183" s="112">
        <f t="shared" si="57"/>
        <v>2039</v>
      </c>
    </row>
    <row r="184" spans="1:22" s="1" customFormat="1">
      <c r="A184" s="53"/>
      <c r="B184" s="195" t="s">
        <v>237</v>
      </c>
      <c r="C184" s="205">
        <f>AVERAGE(F185:U185)</f>
        <v>629.65424522822309</v>
      </c>
      <c r="D184" s="201">
        <f>SUMPRODUCT(F184:U184,F185:U185)/COLUMNS(F184:U184)</f>
        <v>937741.60662186914</v>
      </c>
      <c r="E184" s="203" t="s">
        <v>236</v>
      </c>
      <c r="F184" s="196">
        <f>Założenia!E97</f>
        <v>655.58463225699438</v>
      </c>
      <c r="G184" s="196">
        <f>Założenia!F97</f>
        <v>753.34725285672152</v>
      </c>
      <c r="H184" s="196">
        <f>Założenia!G97</f>
        <v>851.10987345644878</v>
      </c>
      <c r="I184" s="196">
        <f>Założenia!H97</f>
        <v>948.87249405617604</v>
      </c>
      <c r="J184" s="196">
        <f>Założenia!I97</f>
        <v>1046.6351146559032</v>
      </c>
      <c r="K184" s="196">
        <f>Założenia!J97</f>
        <v>1144.3977352556303</v>
      </c>
      <c r="L184" s="196">
        <f>Założenia!K97</f>
        <v>1242.1603558553577</v>
      </c>
      <c r="M184" s="196">
        <f>Założenia!L97</f>
        <v>1339.9229764550848</v>
      </c>
      <c r="N184" s="196">
        <f>Założenia!M97</f>
        <v>1437.685597054812</v>
      </c>
      <c r="O184" s="196">
        <f>Założenia!N97</f>
        <v>1598.7063839249508</v>
      </c>
      <c r="P184" s="196">
        <f>Założenia!O97</f>
        <v>1759.7271707950902</v>
      </c>
      <c r="Q184" s="196">
        <f>Założenia!P97</f>
        <v>1920.747957665229</v>
      </c>
      <c r="R184" s="196">
        <f>Założenia!Q97</f>
        <v>2081.7687445353681</v>
      </c>
      <c r="S184" s="196">
        <f>Założenia!R97</f>
        <v>2242.7895314055068</v>
      </c>
      <c r="T184" s="196">
        <f>Założenia!S97</f>
        <v>2398.0595758874269</v>
      </c>
      <c r="U184" s="197">
        <f>Założenia!T97</f>
        <v>2553.3296203693462</v>
      </c>
      <c r="V184" s="40"/>
    </row>
    <row r="185" spans="1:22" s="1" customFormat="1" ht="13.5" thickBot="1">
      <c r="A185" s="53"/>
      <c r="B185" s="198" t="s">
        <v>238</v>
      </c>
      <c r="C185" s="206">
        <f>SUM(F185:U185)</f>
        <v>10074.467923651569</v>
      </c>
      <c r="D185" s="202">
        <f>SUMPRODUCT(F184:U184,F185:U185)</f>
        <v>15003865.705949906</v>
      </c>
      <c r="E185" s="204" t="s">
        <v>232</v>
      </c>
      <c r="F185" s="199">
        <f t="shared" ref="F185:U185" si="58">E49</f>
        <v>646.90998909411769</v>
      </c>
      <c r="G185" s="199">
        <f t="shared" si="58"/>
        <v>640.46920761505351</v>
      </c>
      <c r="H185" s="199">
        <f t="shared" si="58"/>
        <v>639.89252509098935</v>
      </c>
      <c r="I185" s="199">
        <f t="shared" si="58"/>
        <v>638.71476726016044</v>
      </c>
      <c r="J185" s="199">
        <f t="shared" si="58"/>
        <v>638.13808473609618</v>
      </c>
      <c r="K185" s="199">
        <f t="shared" si="58"/>
        <v>636.69637842593579</v>
      </c>
      <c r="L185" s="199">
        <f t="shared" si="58"/>
        <v>632.33931892367025</v>
      </c>
      <c r="M185" s="199">
        <f t="shared" si="58"/>
        <v>630.89761261350975</v>
      </c>
      <c r="N185" s="199">
        <f t="shared" si="58"/>
        <v>629.45590630334937</v>
      </c>
      <c r="O185" s="199">
        <f t="shared" si="58"/>
        <v>628.01419999318898</v>
      </c>
      <c r="P185" s="199">
        <f t="shared" si="58"/>
        <v>625.41912863490018</v>
      </c>
      <c r="Q185" s="199">
        <f t="shared" si="58"/>
        <v>622.82405727661137</v>
      </c>
      <c r="R185" s="199">
        <f t="shared" si="58"/>
        <v>620.22898591832268</v>
      </c>
      <c r="S185" s="199">
        <f t="shared" si="58"/>
        <v>617.63391456003387</v>
      </c>
      <c r="T185" s="199">
        <f t="shared" si="58"/>
        <v>615.03884320174507</v>
      </c>
      <c r="U185" s="200">
        <f t="shared" si="58"/>
        <v>611.79500400388406</v>
      </c>
      <c r="V185" s="40"/>
    </row>
    <row r="186" spans="1:22" s="1" customFormat="1" ht="13.5" thickBot="1">
      <c r="A186" s="53"/>
      <c r="B186" s="73" t="s">
        <v>61</v>
      </c>
      <c r="C186" s="112" t="s">
        <v>240</v>
      </c>
      <c r="D186" s="112" t="s">
        <v>0</v>
      </c>
      <c r="E186" s="112" t="s">
        <v>241</v>
      </c>
      <c r="F186" s="112">
        <f>F183</f>
        <v>2024</v>
      </c>
      <c r="G186" s="112">
        <f t="shared" ref="G186:U186" si="59">G183</f>
        <v>2025</v>
      </c>
      <c r="H186" s="112">
        <f t="shared" si="59"/>
        <v>2026</v>
      </c>
      <c r="I186" s="112">
        <f t="shared" si="59"/>
        <v>2027</v>
      </c>
      <c r="J186" s="112">
        <f t="shared" si="59"/>
        <v>2028</v>
      </c>
      <c r="K186" s="112">
        <f t="shared" si="59"/>
        <v>2029</v>
      </c>
      <c r="L186" s="112">
        <f t="shared" si="59"/>
        <v>2030</v>
      </c>
      <c r="M186" s="112">
        <f t="shared" si="59"/>
        <v>2031</v>
      </c>
      <c r="N186" s="112">
        <f t="shared" si="59"/>
        <v>2032</v>
      </c>
      <c r="O186" s="112">
        <f t="shared" si="59"/>
        <v>2033</v>
      </c>
      <c r="P186" s="112">
        <f t="shared" si="59"/>
        <v>2034</v>
      </c>
      <c r="Q186" s="112">
        <f t="shared" si="59"/>
        <v>2035</v>
      </c>
      <c r="R186" s="112">
        <f t="shared" si="59"/>
        <v>2036</v>
      </c>
      <c r="S186" s="112">
        <f t="shared" si="59"/>
        <v>2037</v>
      </c>
      <c r="T186" s="112">
        <f t="shared" si="59"/>
        <v>2038</v>
      </c>
      <c r="U186" s="112">
        <f t="shared" si="59"/>
        <v>2039</v>
      </c>
    </row>
    <row r="187" spans="1:22" s="1" customFormat="1">
      <c r="A187" s="53"/>
      <c r="B187" s="195" t="s">
        <v>237</v>
      </c>
      <c r="C187" s="205">
        <f>AVERAGE(F188:U188)</f>
        <v>1.0444975654807718</v>
      </c>
      <c r="D187" s="201">
        <f>SUMPRODUCT(F187:U187,F188:U188)/COLUMNS(F187:U187)</f>
        <v>86655.266608045626</v>
      </c>
      <c r="E187" s="203" t="s">
        <v>236</v>
      </c>
      <c r="F187" s="196">
        <f>Założenia!E87</f>
        <v>70375.176140161158</v>
      </c>
      <c r="G187" s="196">
        <f>Założenia!F87</f>
        <v>70999.979256596489</v>
      </c>
      <c r="H187" s="196">
        <f>Założenia!G87</f>
        <v>72721.973304859785</v>
      </c>
      <c r="I187" s="196">
        <f>Założenia!H87</f>
        <v>74729.767968870379</v>
      </c>
      <c r="J187" s="196">
        <f>Założenia!I87</f>
        <v>76684.302995589824</v>
      </c>
      <c r="K187" s="196">
        <f>Założenia!J87</f>
        <v>78701.488248076756</v>
      </c>
      <c r="L187" s="196">
        <f>Założenia!K87</f>
        <v>80720.34153310649</v>
      </c>
      <c r="M187" s="196">
        <f>Założenia!L87</f>
        <v>82802.749398514468</v>
      </c>
      <c r="N187" s="196">
        <f>Założenia!M87</f>
        <v>84884.113928100123</v>
      </c>
      <c r="O187" s="196">
        <f>Założenia!N87</f>
        <v>87031.257287917542</v>
      </c>
      <c r="P187" s="196">
        <f>Założenia!O87</f>
        <v>89175.798215773451</v>
      </c>
      <c r="Q187" s="196">
        <f>Założenia!P87</f>
        <v>91385.492463993301</v>
      </c>
      <c r="R187" s="196">
        <f>Założenia!Q87</f>
        <v>93588.011536746504</v>
      </c>
      <c r="S187" s="196">
        <f>Założenia!R87</f>
        <v>95778.698632214902</v>
      </c>
      <c r="T187" s="196">
        <f>Założenia!S87</f>
        <v>97954.140826759758</v>
      </c>
      <c r="U187" s="197">
        <f>Założenia!T87</f>
        <v>100109.66610213456</v>
      </c>
      <c r="V187" s="40"/>
    </row>
    <row r="188" spans="1:22" s="1" customFormat="1" ht="13.5" thickBot="1">
      <c r="A188" s="53"/>
      <c r="B188" s="198" t="s">
        <v>238</v>
      </c>
      <c r="C188" s="206">
        <f>SUM(F188:U188)</f>
        <v>16.711961047692348</v>
      </c>
      <c r="D188" s="202">
        <f>SUMPRODUCT(F187:U187,F188:U188)</f>
        <v>1386484.26572873</v>
      </c>
      <c r="E188" s="204" t="s">
        <v>232</v>
      </c>
      <c r="F188" s="199">
        <f t="shared" ref="F188:U188" si="60">E59</f>
        <v>1.2741841621561498</v>
      </c>
      <c r="G188" s="199">
        <f t="shared" si="60"/>
        <v>1.256852794300704</v>
      </c>
      <c r="H188" s="199">
        <f t="shared" si="60"/>
        <v>1.2524665729452582</v>
      </c>
      <c r="I188" s="199">
        <f t="shared" si="60"/>
        <v>1.2479231230898129</v>
      </c>
      <c r="J188" s="199">
        <f t="shared" si="60"/>
        <v>1.2469384258969793</v>
      </c>
      <c r="K188" s="199">
        <f t="shared" si="60"/>
        <v>1.245953728704146</v>
      </c>
      <c r="L188" s="199">
        <f t="shared" si="60"/>
        <v>0.92884311809025999</v>
      </c>
      <c r="M188" s="199">
        <f t="shared" si="60"/>
        <v>0.92785842089742665</v>
      </c>
      <c r="N188" s="199">
        <f t="shared" si="60"/>
        <v>0.9268737237045932</v>
      </c>
      <c r="O188" s="199">
        <f t="shared" si="60"/>
        <v>0.92387298857485356</v>
      </c>
      <c r="P188" s="199">
        <f t="shared" si="60"/>
        <v>0.92087225344511381</v>
      </c>
      <c r="Q188" s="199">
        <f t="shared" si="60"/>
        <v>0.91787151831537417</v>
      </c>
      <c r="R188" s="199">
        <f t="shared" si="60"/>
        <v>0.91487078318563442</v>
      </c>
      <c r="S188" s="199">
        <f t="shared" si="60"/>
        <v>0.91187004805589478</v>
      </c>
      <c r="T188" s="199">
        <f t="shared" si="60"/>
        <v>0.90825776414323744</v>
      </c>
      <c r="U188" s="200">
        <f t="shared" si="60"/>
        <v>0.90645162218690878</v>
      </c>
      <c r="V188" s="40"/>
    </row>
    <row r="189" spans="1:22" s="1" customFormat="1" ht="13.5" thickBot="1">
      <c r="A189" s="53"/>
      <c r="B189" s="73" t="s">
        <v>121</v>
      </c>
      <c r="C189" s="112" t="s">
        <v>240</v>
      </c>
      <c r="D189" s="112" t="s">
        <v>0</v>
      </c>
      <c r="E189" s="112" t="s">
        <v>241</v>
      </c>
      <c r="F189" s="112">
        <f>F186</f>
        <v>2024</v>
      </c>
      <c r="G189" s="112">
        <f t="shared" ref="G189:U189" si="61">G186</f>
        <v>2025</v>
      </c>
      <c r="H189" s="112">
        <f t="shared" si="61"/>
        <v>2026</v>
      </c>
      <c r="I189" s="112">
        <f t="shared" si="61"/>
        <v>2027</v>
      </c>
      <c r="J189" s="112">
        <f t="shared" si="61"/>
        <v>2028</v>
      </c>
      <c r="K189" s="112">
        <f t="shared" si="61"/>
        <v>2029</v>
      </c>
      <c r="L189" s="112">
        <f t="shared" si="61"/>
        <v>2030</v>
      </c>
      <c r="M189" s="112">
        <f t="shared" si="61"/>
        <v>2031</v>
      </c>
      <c r="N189" s="112">
        <f t="shared" si="61"/>
        <v>2032</v>
      </c>
      <c r="O189" s="112">
        <f t="shared" si="61"/>
        <v>2033</v>
      </c>
      <c r="P189" s="112">
        <f t="shared" si="61"/>
        <v>2034</v>
      </c>
      <c r="Q189" s="112">
        <f t="shared" si="61"/>
        <v>2035</v>
      </c>
      <c r="R189" s="112">
        <f t="shared" si="61"/>
        <v>2036</v>
      </c>
      <c r="S189" s="112">
        <f t="shared" si="61"/>
        <v>2037</v>
      </c>
      <c r="T189" s="112">
        <f t="shared" si="61"/>
        <v>2038</v>
      </c>
      <c r="U189" s="112">
        <f t="shared" si="61"/>
        <v>2039</v>
      </c>
    </row>
    <row r="190" spans="1:22" s="1" customFormat="1">
      <c r="A190" s="53"/>
      <c r="B190" s="195" t="s">
        <v>237</v>
      </c>
      <c r="C190" s="205">
        <f>AVERAGE(F191:U191)</f>
        <v>0.30676595490698216</v>
      </c>
      <c r="D190" s="201">
        <f>SUMPRODUCT(F190:U190,F191:U191)/COLUMNS(F190:U190)</f>
        <v>1218.2389623514887</v>
      </c>
      <c r="E190" s="203" t="s">
        <v>236</v>
      </c>
      <c r="F190" s="196">
        <f>Założenia!E88</f>
        <v>3351.1988638171983</v>
      </c>
      <c r="G190" s="196">
        <f>Założenia!F88</f>
        <v>3380.9513931712618</v>
      </c>
      <c r="H190" s="196">
        <f>Założenia!G88</f>
        <v>3462.9511097552281</v>
      </c>
      <c r="I190" s="196">
        <f>Założenia!H88</f>
        <v>3558.5603794700182</v>
      </c>
      <c r="J190" s="196">
        <f>Założenia!I88</f>
        <v>3651.6334759804681</v>
      </c>
      <c r="K190" s="196">
        <f>Założenia!J88</f>
        <v>3747.6899165750838</v>
      </c>
      <c r="L190" s="196">
        <f>Założenia!K88</f>
        <v>3843.8257872907852</v>
      </c>
      <c r="M190" s="196">
        <f>Założenia!L88</f>
        <v>3942.9880665959267</v>
      </c>
      <c r="N190" s="196">
        <f>Założenia!M88</f>
        <v>4042.100663242863</v>
      </c>
      <c r="O190" s="196">
        <f>Założenia!N88</f>
        <v>4144.3455851389308</v>
      </c>
      <c r="P190" s="196">
        <f>Założenia!O88</f>
        <v>4246.4665817034975</v>
      </c>
      <c r="Q190" s="196">
        <f>Założenia!P88</f>
        <v>4351.6901173330143</v>
      </c>
      <c r="R190" s="196">
        <f>Założenia!Q88</f>
        <v>4456.5719779403098</v>
      </c>
      <c r="S190" s="196">
        <f>Założenia!R88</f>
        <v>4560.8904110578533</v>
      </c>
      <c r="T190" s="196">
        <f>Założenia!S88</f>
        <v>4664.4828965123706</v>
      </c>
      <c r="U190" s="197">
        <f>Założenia!T88</f>
        <v>4767.1269572445044</v>
      </c>
      <c r="V190" s="40"/>
    </row>
    <row r="191" spans="1:22" s="1" customFormat="1" ht="13.5" thickBot="1">
      <c r="A191" s="53"/>
      <c r="B191" s="198" t="s">
        <v>238</v>
      </c>
      <c r="C191" s="206">
        <f>SUM(F191:U191)</f>
        <v>4.9082552785117146</v>
      </c>
      <c r="D191" s="202">
        <f>SUMPRODUCT(F190:U190,F191:U191)</f>
        <v>19491.823397623819</v>
      </c>
      <c r="E191" s="204" t="s">
        <v>232</v>
      </c>
      <c r="F191" s="199">
        <f t="shared" ref="F191:U191" si="62">E77</f>
        <v>0.35148493172545453</v>
      </c>
      <c r="G191" s="199">
        <f t="shared" si="62"/>
        <v>0.34777179461504837</v>
      </c>
      <c r="H191" s="199">
        <f t="shared" si="62"/>
        <v>0.34776793986714216</v>
      </c>
      <c r="I191" s="199">
        <f t="shared" si="62"/>
        <v>0.34762512287144182</v>
      </c>
      <c r="J191" s="199">
        <f t="shared" si="62"/>
        <v>0.34761972622437309</v>
      </c>
      <c r="K191" s="199">
        <f t="shared" si="62"/>
        <v>0.34761432957730443</v>
      </c>
      <c r="L191" s="199">
        <f t="shared" si="62"/>
        <v>0.28189124956839362</v>
      </c>
      <c r="M191" s="199">
        <f t="shared" si="62"/>
        <v>0.28188585292132495</v>
      </c>
      <c r="N191" s="199">
        <f t="shared" si="62"/>
        <v>0.28188045627425623</v>
      </c>
      <c r="O191" s="199">
        <f t="shared" si="62"/>
        <v>0.28186445907044544</v>
      </c>
      <c r="P191" s="199">
        <f t="shared" si="62"/>
        <v>0.2818484618666347</v>
      </c>
      <c r="Q191" s="199">
        <f t="shared" si="62"/>
        <v>0.28183246466282391</v>
      </c>
      <c r="R191" s="199">
        <f t="shared" si="62"/>
        <v>0.28181646745901312</v>
      </c>
      <c r="S191" s="199">
        <f t="shared" si="62"/>
        <v>0.28180047025520233</v>
      </c>
      <c r="T191" s="199">
        <f t="shared" si="62"/>
        <v>0.28178071467218302</v>
      </c>
      <c r="U191" s="200">
        <f t="shared" si="62"/>
        <v>0.28177083688067334</v>
      </c>
      <c r="V191" s="40"/>
    </row>
    <row r="192" spans="1:22" s="1" customFormat="1" ht="13.5" thickBot="1">
      <c r="A192" s="53"/>
      <c r="B192" s="73" t="s">
        <v>62</v>
      </c>
      <c r="C192" s="112" t="s">
        <v>240</v>
      </c>
      <c r="D192" s="112" t="s">
        <v>0</v>
      </c>
      <c r="E192" s="112" t="s">
        <v>241</v>
      </c>
      <c r="F192" s="112">
        <f>F189</f>
        <v>2024</v>
      </c>
      <c r="G192" s="112">
        <f t="shared" ref="G192:U192" si="63">G189</f>
        <v>2025</v>
      </c>
      <c r="H192" s="112">
        <f t="shared" si="63"/>
        <v>2026</v>
      </c>
      <c r="I192" s="112">
        <f t="shared" si="63"/>
        <v>2027</v>
      </c>
      <c r="J192" s="112">
        <f t="shared" si="63"/>
        <v>2028</v>
      </c>
      <c r="K192" s="112">
        <f t="shared" si="63"/>
        <v>2029</v>
      </c>
      <c r="L192" s="112">
        <f t="shared" si="63"/>
        <v>2030</v>
      </c>
      <c r="M192" s="112">
        <f t="shared" si="63"/>
        <v>2031</v>
      </c>
      <c r="N192" s="112">
        <f t="shared" si="63"/>
        <v>2032</v>
      </c>
      <c r="O192" s="112">
        <f t="shared" si="63"/>
        <v>2033</v>
      </c>
      <c r="P192" s="112">
        <f t="shared" si="63"/>
        <v>2034</v>
      </c>
      <c r="Q192" s="112">
        <f t="shared" si="63"/>
        <v>2035</v>
      </c>
      <c r="R192" s="112">
        <f t="shared" si="63"/>
        <v>2036</v>
      </c>
      <c r="S192" s="112">
        <f t="shared" si="63"/>
        <v>2037</v>
      </c>
      <c r="T192" s="112">
        <f t="shared" si="63"/>
        <v>2038</v>
      </c>
      <c r="U192" s="112">
        <f t="shared" si="63"/>
        <v>2039</v>
      </c>
    </row>
    <row r="193" spans="1:22" s="1" customFormat="1">
      <c r="A193" s="53"/>
      <c r="B193" s="195" t="s">
        <v>237</v>
      </c>
      <c r="C193" s="205">
        <f>AVERAGE(F194:U194)</f>
        <v>2.4059041430611283E-2</v>
      </c>
      <c r="D193" s="201">
        <f>SUMPRODUCT(F193:U193,F194:U194)/COLUMNS(F193:U193)</f>
        <v>12477.321986154011</v>
      </c>
      <c r="E193" s="203" t="s">
        <v>236</v>
      </c>
      <c r="F193" s="196">
        <f>Założenia!E90</f>
        <v>435655.8522962358</v>
      </c>
      <c r="G193" s="196">
        <f>Założenia!F90</f>
        <v>439523.68111226405</v>
      </c>
      <c r="H193" s="196">
        <f>Założenia!G90</f>
        <v>450183.64426817966</v>
      </c>
      <c r="I193" s="196">
        <f>Założenia!H90</f>
        <v>462612.84933110233</v>
      </c>
      <c r="J193" s="196">
        <f>Założenia!I90</f>
        <v>474712.35187746084</v>
      </c>
      <c r="K193" s="196">
        <f>Założenia!J90</f>
        <v>487199.68915476091</v>
      </c>
      <c r="L193" s="196">
        <f>Założenia!K90</f>
        <v>499697.35234780208</v>
      </c>
      <c r="M193" s="196">
        <f>Założenia!L90</f>
        <v>512588.44865747046</v>
      </c>
      <c r="N193" s="196">
        <f>Założenia!M90</f>
        <v>525473.08622157213</v>
      </c>
      <c r="O193" s="196">
        <f>Założenia!N90</f>
        <v>538764.92606806091</v>
      </c>
      <c r="P193" s="196">
        <f>Założenia!O90</f>
        <v>552040.65562145459</v>
      </c>
      <c r="Q193" s="196">
        <f>Założenia!P90</f>
        <v>565719.71525329177</v>
      </c>
      <c r="R193" s="196">
        <f>Założenia!Q90</f>
        <v>579354.3571322402</v>
      </c>
      <c r="S193" s="196">
        <f>Założenia!R90</f>
        <v>592915.75343752082</v>
      </c>
      <c r="T193" s="196">
        <f>Założenia!S90</f>
        <v>606382.77654660807</v>
      </c>
      <c r="U193" s="197">
        <f>Założenia!T90</f>
        <v>619726.50444178551</v>
      </c>
      <c r="V193" s="40"/>
    </row>
    <row r="194" spans="1:22" s="1" customFormat="1" ht="13.5" thickBot="1">
      <c r="A194" s="53"/>
      <c r="B194" s="198" t="s">
        <v>238</v>
      </c>
      <c r="C194" s="206">
        <f>SUM(F194:U194)</f>
        <v>0.38494466288978052</v>
      </c>
      <c r="D194" s="202">
        <f>SUMPRODUCT(F193:U193,F194:U194)</f>
        <v>199637.15177846418</v>
      </c>
      <c r="E194" s="204" t="s">
        <v>232</v>
      </c>
      <c r="F194" s="199">
        <f>E68</f>
        <v>2.613223108032086E-2</v>
      </c>
      <c r="G194" s="199">
        <f t="shared" ref="G194:U194" si="64">F68</f>
        <v>2.5767075438371152E-2</v>
      </c>
      <c r="H194" s="199">
        <f t="shared" si="64"/>
        <v>2.5646934208921453E-2</v>
      </c>
      <c r="I194" s="199">
        <f t="shared" si="64"/>
        <v>2.5508989164030577E-2</v>
      </c>
      <c r="J194" s="199">
        <f t="shared" si="64"/>
        <v>2.5482227165614234E-2</v>
      </c>
      <c r="K194" s="199">
        <f t="shared" si="64"/>
        <v>2.5455465167197894E-2</v>
      </c>
      <c r="L194" s="199">
        <f t="shared" si="64"/>
        <v>2.3371329833255242E-2</v>
      </c>
      <c r="M194" s="199">
        <f t="shared" si="64"/>
        <v>2.3344567834838899E-2</v>
      </c>
      <c r="N194" s="199">
        <f t="shared" si="64"/>
        <v>2.331780583642256E-2</v>
      </c>
      <c r="O194" s="199">
        <f t="shared" si="64"/>
        <v>2.32353616154948E-2</v>
      </c>
      <c r="P194" s="199">
        <f t="shared" si="64"/>
        <v>2.3152917394567041E-2</v>
      </c>
      <c r="Q194" s="199">
        <f t="shared" si="64"/>
        <v>2.3070473173639281E-2</v>
      </c>
      <c r="R194" s="199">
        <f t="shared" si="64"/>
        <v>2.2988028952711521E-2</v>
      </c>
      <c r="S194" s="199">
        <f t="shared" si="64"/>
        <v>2.2905584731783765E-2</v>
      </c>
      <c r="T194" s="199">
        <f t="shared" si="64"/>
        <v>2.2807385463401223E-2</v>
      </c>
      <c r="U194" s="200">
        <f t="shared" si="64"/>
        <v>2.2758285829209954E-2</v>
      </c>
      <c r="V194" s="40"/>
    </row>
    <row r="195" spans="1:22" s="1" customFormat="1">
      <c r="A195" s="53"/>
      <c r="B195" s="64"/>
      <c r="C195" s="40"/>
      <c r="D195" s="40"/>
      <c r="E195" s="40"/>
      <c r="F195" s="54"/>
      <c r="G195" s="40"/>
      <c r="H195" s="44"/>
      <c r="I195" s="45"/>
    </row>
    <row r="196" spans="1:22" s="1" customFormat="1">
      <c r="A196" s="53"/>
      <c r="B196" s="64"/>
      <c r="C196" s="40"/>
      <c r="D196" s="40"/>
      <c r="E196" s="40"/>
      <c r="F196" s="54"/>
      <c r="G196" s="40"/>
      <c r="H196" s="44"/>
      <c r="I196" s="45"/>
    </row>
    <row r="197" spans="1:22" s="1" customFormat="1">
      <c r="A197" s="53"/>
      <c r="B197" s="64"/>
      <c r="C197" s="40"/>
      <c r="D197" s="40"/>
      <c r="E197" s="40"/>
      <c r="F197" s="54"/>
      <c r="G197" s="40"/>
      <c r="H197" s="44"/>
      <c r="I197" s="45"/>
    </row>
    <row r="198" spans="1:22" s="1" customFormat="1">
      <c r="A198" s="53"/>
      <c r="B198" s="64"/>
      <c r="C198" s="40"/>
      <c r="D198" s="40"/>
      <c r="E198" s="40"/>
      <c r="F198" s="54"/>
      <c r="G198" s="40"/>
      <c r="H198" s="44"/>
      <c r="I198" s="45"/>
    </row>
    <row r="199" spans="1:22" s="1" customFormat="1">
      <c r="A199" s="53"/>
      <c r="B199" s="64"/>
      <c r="C199" s="40"/>
      <c r="D199" s="40"/>
      <c r="E199" s="40"/>
      <c r="F199" s="54"/>
      <c r="G199" s="40"/>
      <c r="H199" s="44"/>
      <c r="I199" s="45"/>
    </row>
    <row r="200" spans="1:22" s="1" customFormat="1">
      <c r="A200" s="53"/>
      <c r="B200" s="64"/>
      <c r="C200" s="40"/>
      <c r="D200" s="40"/>
      <c r="E200" s="40"/>
      <c r="F200" s="54"/>
      <c r="G200" s="40"/>
      <c r="H200" s="44"/>
      <c r="I200" s="45"/>
    </row>
    <row r="201" spans="1:22" s="1" customFormat="1">
      <c r="A201" s="53"/>
      <c r="B201" s="64"/>
      <c r="C201" s="40"/>
      <c r="D201" s="40"/>
      <c r="E201" s="40"/>
      <c r="F201" s="54"/>
      <c r="G201" s="40"/>
      <c r="H201" s="44"/>
      <c r="I201" s="45"/>
    </row>
    <row r="202" spans="1:22" s="1" customFormat="1">
      <c r="A202" s="53"/>
      <c r="B202" s="64"/>
      <c r="C202" s="40"/>
      <c r="D202" s="40"/>
      <c r="E202" s="40"/>
      <c r="F202" s="54"/>
      <c r="G202" s="40"/>
      <c r="H202" s="44"/>
      <c r="I202" s="45"/>
    </row>
    <row r="203" spans="1:22" s="1" customFormat="1">
      <c r="A203" s="53"/>
      <c r="B203" s="64"/>
      <c r="C203" s="40"/>
      <c r="D203" s="40"/>
      <c r="E203" s="40"/>
      <c r="F203" s="54"/>
      <c r="G203" s="40"/>
      <c r="H203" s="44"/>
      <c r="I203" s="45"/>
    </row>
    <row r="204" spans="1:22" s="1" customFormat="1">
      <c r="A204" s="53"/>
      <c r="B204" s="64"/>
      <c r="C204" s="40"/>
      <c r="D204" s="40"/>
      <c r="E204" s="40"/>
      <c r="F204" s="54"/>
      <c r="G204" s="40"/>
      <c r="H204" s="44"/>
      <c r="I204" s="45"/>
    </row>
    <row r="205" spans="1:22" s="1" customFormat="1">
      <c r="A205" s="69"/>
      <c r="B205" s="46"/>
      <c r="C205" s="46"/>
      <c r="D205" s="46"/>
      <c r="E205" s="46"/>
      <c r="F205" s="46"/>
      <c r="G205" s="46"/>
      <c r="H205" s="46"/>
      <c r="I205" s="46"/>
    </row>
    <row r="206" spans="1:22" s="1" customFormat="1">
      <c r="A206"/>
      <c r="B206" s="40"/>
      <c r="C206" s="40"/>
      <c r="D206" s="40"/>
      <c r="E206" s="40"/>
      <c r="F206"/>
      <c r="G206"/>
      <c r="H206"/>
      <c r="I206"/>
    </row>
    <row r="207" spans="1:22" s="1" customFormat="1">
      <c r="A207"/>
      <c r="B207"/>
      <c r="C207" s="65"/>
      <c r="D207" s="65"/>
      <c r="E207" s="66"/>
      <c r="F207" s="67"/>
      <c r="G207" s="65"/>
      <c r="H207"/>
      <c r="I207" s="68"/>
    </row>
    <row r="208" spans="1:22" s="1" customFormat="1" ht="12"/>
    <row r="209" spans="1:9" s="1" customFormat="1" ht="12"/>
    <row r="210" spans="1:9" s="1" customFormat="1" ht="30.75" customHeight="1">
      <c r="A210" s="506"/>
      <c r="B210" s="563"/>
      <c r="C210" s="563"/>
      <c r="D210" s="147"/>
      <c r="E210" s="43"/>
      <c r="F210" s="43"/>
      <c r="G210" s="43"/>
      <c r="H210" s="43"/>
      <c r="I210" s="43"/>
    </row>
    <row r="211" spans="1:9" s="1" customFormat="1">
      <c r="A211" s="55"/>
      <c r="B211" s="55"/>
      <c r="C211" s="55"/>
      <c r="D211" s="55"/>
      <c r="E211" s="55"/>
      <c r="F211" s="55"/>
      <c r="G211" s="56"/>
      <c r="H211" s="56"/>
      <c r="I211" s="510"/>
    </row>
    <row r="212" spans="1:9" s="1" customFormat="1">
      <c r="A212" s="55"/>
      <c r="B212" s="55"/>
      <c r="C212" s="55"/>
      <c r="D212" s="55"/>
      <c r="E212" s="55"/>
      <c r="F212" s="55"/>
      <c r="G212" s="56"/>
      <c r="H212" s="56"/>
      <c r="I212" s="510"/>
    </row>
    <row r="213" spans="1:9" s="1" customFormat="1">
      <c r="A213"/>
      <c r="B213"/>
      <c r="C213"/>
      <c r="D213"/>
      <c r="E213"/>
      <c r="F213"/>
      <c r="G213"/>
      <c r="H213" s="40"/>
      <c r="I213"/>
    </row>
    <row r="214" spans="1:9" s="1" customFormat="1">
      <c r="A214"/>
      <c r="B214"/>
      <c r="C214"/>
      <c r="D214"/>
      <c r="E214"/>
      <c r="F214"/>
      <c r="G214" s="47"/>
      <c r="H214" s="57"/>
      <c r="I214" s="40"/>
    </row>
    <row r="215" spans="1:9" s="1" customFormat="1">
      <c r="A215"/>
      <c r="B215"/>
      <c r="C215"/>
      <c r="D215"/>
      <c r="E215"/>
      <c r="F215"/>
      <c r="G215" s="48"/>
      <c r="H215" s="57"/>
      <c r="I215" s="40"/>
    </row>
    <row r="216" spans="1:9" s="1" customFormat="1">
      <c r="A216"/>
      <c r="B216"/>
      <c r="C216"/>
      <c r="D216"/>
      <c r="E216"/>
      <c r="F216"/>
      <c r="G216" s="49"/>
      <c r="H216" s="57"/>
      <c r="I216" s="40"/>
    </row>
    <row r="217" spans="1:9" s="1" customFormat="1">
      <c r="A217"/>
      <c r="B217"/>
      <c r="C217"/>
      <c r="D217"/>
      <c r="E217"/>
      <c r="F217"/>
      <c r="G217" s="49"/>
      <c r="H217" s="57"/>
      <c r="I217" s="40"/>
    </row>
    <row r="218" spans="1:9" s="1" customFormat="1">
      <c r="A218"/>
      <c r="B218"/>
      <c r="C218"/>
      <c r="D218"/>
      <c r="E218"/>
      <c r="F218"/>
      <c r="G218" s="49"/>
      <c r="H218" s="57"/>
      <c r="I218" s="40"/>
    </row>
    <row r="219" spans="1:9" s="1" customFormat="1">
      <c r="A219"/>
      <c r="B219"/>
      <c r="C219"/>
      <c r="D219"/>
      <c r="E219"/>
      <c r="F219"/>
      <c r="G219" s="49"/>
      <c r="H219" s="57"/>
      <c r="I219" s="40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 s="55"/>
      <c r="B221" s="55"/>
      <c r="C221" s="55"/>
      <c r="D221" s="55"/>
      <c r="E221" s="55"/>
      <c r="F221" s="55"/>
      <c r="G221" s="509"/>
      <c r="H221" s="58"/>
      <c r="I221" s="58"/>
    </row>
    <row r="222" spans="1:9" s="1" customFormat="1">
      <c r="A222" s="55"/>
      <c r="B222" s="55"/>
      <c r="C222" s="55"/>
      <c r="D222" s="55"/>
      <c r="E222" s="55"/>
      <c r="F222" s="55"/>
      <c r="G222" s="509"/>
      <c r="H222" s="58"/>
      <c r="I222" s="58"/>
    </row>
    <row r="223" spans="1:9" s="1" customFormat="1">
      <c r="A223" s="50"/>
      <c r="B223"/>
      <c r="C223" s="51"/>
      <c r="D223" s="51"/>
      <c r="E223" s="51"/>
      <c r="F223"/>
      <c r="G223" s="51"/>
      <c r="H223" s="59"/>
      <c r="I223" s="40"/>
    </row>
    <row r="224" spans="1:9" s="1" customFormat="1">
      <c r="A224"/>
      <c r="B224"/>
      <c r="C224"/>
      <c r="D224"/>
      <c r="E224"/>
      <c r="F224"/>
      <c r="G224" s="40"/>
      <c r="H224" s="40"/>
      <c r="I224" s="57"/>
    </row>
    <row r="225" spans="1:9" s="1" customFormat="1">
      <c r="A225"/>
      <c r="B225"/>
      <c r="C225"/>
      <c r="D225"/>
      <c r="E225"/>
      <c r="F225"/>
      <c r="G225" s="57"/>
      <c r="H225" s="40"/>
      <c r="I225" s="40"/>
    </row>
    <row r="226" spans="1:9" s="1" customFormat="1">
      <c r="A226"/>
      <c r="B226"/>
      <c r="C226"/>
      <c r="D226"/>
      <c r="E226"/>
      <c r="F226"/>
      <c r="G226" s="38"/>
      <c r="H226" s="40"/>
      <c r="I226" s="40"/>
    </row>
    <row r="227" spans="1:9" s="1" customFormat="1">
      <c r="A227"/>
      <c r="B227"/>
      <c r="C227"/>
      <c r="D227"/>
      <c r="E227"/>
      <c r="F227"/>
      <c r="G227" s="60"/>
      <c r="H227" s="40"/>
      <c r="I227" s="40"/>
    </row>
    <row r="228" spans="1:9" s="1" customFormat="1">
      <c r="A228"/>
      <c r="B228"/>
      <c r="C228"/>
      <c r="D228"/>
      <c r="E228"/>
      <c r="F228" s="40"/>
      <c r="G228"/>
      <c r="H228"/>
      <c r="I228"/>
    </row>
    <row r="229" spans="1:9" s="1" customFormat="1">
      <c r="A229" s="52"/>
      <c r="B229"/>
      <c r="C229"/>
      <c r="D229"/>
      <c r="E229"/>
      <c r="F229" s="40"/>
      <c r="G229"/>
      <c r="H229"/>
      <c r="I229"/>
    </row>
    <row r="230" spans="1:9" s="1" customFormat="1">
      <c r="A230"/>
      <c r="B230" s="61"/>
      <c r="C230"/>
      <c r="D230"/>
      <c r="E230"/>
      <c r="F230"/>
      <c r="G230"/>
      <c r="H230"/>
      <c r="I230"/>
    </row>
    <row r="231" spans="1:9" s="1" customFormat="1">
      <c r="A231" s="507"/>
      <c r="B231" s="62"/>
      <c r="C231" s="62"/>
      <c r="D231" s="62"/>
      <c r="E231" s="507"/>
      <c r="F231" s="507"/>
      <c r="G231" s="507"/>
      <c r="H231" s="507"/>
      <c r="I231" s="507"/>
    </row>
    <row r="232" spans="1:9" s="1" customFormat="1">
      <c r="A232" s="507"/>
      <c r="B232" s="62"/>
      <c r="C232" s="62"/>
      <c r="D232" s="62"/>
      <c r="E232" s="62"/>
      <c r="F232" s="62"/>
      <c r="G232" s="508"/>
      <c r="H232" s="508"/>
      <c r="I232" s="508"/>
    </row>
    <row r="233" spans="1:9" s="1" customFormat="1">
      <c r="A233" s="53"/>
      <c r="B233" s="63"/>
      <c r="C233" s="40"/>
      <c r="D233" s="40"/>
      <c r="E233" s="40"/>
      <c r="F233" s="54"/>
      <c r="G233" s="40"/>
      <c r="H233" s="40"/>
      <c r="I233" s="45"/>
    </row>
    <row r="234" spans="1:9" s="1" customFormat="1">
      <c r="A234" s="53"/>
      <c r="B234" s="63"/>
      <c r="C234" s="40"/>
      <c r="D234" s="40"/>
      <c r="E234" s="40"/>
      <c r="F234" s="54"/>
      <c r="G234" s="40"/>
      <c r="H234" s="44"/>
      <c r="I234" s="45"/>
    </row>
    <row r="235" spans="1:9" s="1" customFormat="1">
      <c r="A235" s="53"/>
      <c r="B235" s="63"/>
      <c r="C235" s="40"/>
      <c r="D235" s="40"/>
      <c r="E235" s="40"/>
      <c r="F235" s="54"/>
      <c r="G235" s="40"/>
      <c r="H235" s="44"/>
      <c r="I235"/>
    </row>
    <row r="236" spans="1:9" s="1" customFormat="1">
      <c r="A236" s="53"/>
      <c r="B236" s="63"/>
      <c r="C236" s="40"/>
      <c r="D236" s="40"/>
      <c r="E236" s="40"/>
      <c r="F236" s="54"/>
      <c r="G236" s="40"/>
      <c r="H236" s="44"/>
      <c r="I236" s="45"/>
    </row>
    <row r="237" spans="1:9" s="1" customFormat="1">
      <c r="A237" s="53"/>
      <c r="B237" s="64"/>
      <c r="C237" s="40"/>
      <c r="D237" s="40"/>
      <c r="E237" s="40"/>
      <c r="F237" s="54"/>
      <c r="G237" s="40"/>
      <c r="H237" s="44"/>
      <c r="I237" s="45"/>
    </row>
    <row r="238" spans="1:9" s="1" customFormat="1">
      <c r="A238" s="53"/>
      <c r="B238" s="64"/>
      <c r="C238" s="40"/>
      <c r="D238" s="40"/>
      <c r="E238" s="40"/>
      <c r="F238" s="54"/>
      <c r="G238" s="40"/>
      <c r="H238" s="44"/>
      <c r="I238" s="45"/>
    </row>
    <row r="239" spans="1:9" s="1" customFormat="1">
      <c r="A239" s="53"/>
      <c r="B239" s="64"/>
      <c r="C239" s="40"/>
      <c r="D239" s="40"/>
      <c r="E239" s="40"/>
      <c r="F239" s="54"/>
      <c r="G239" s="40"/>
      <c r="H239" s="44"/>
      <c r="I239" s="45"/>
    </row>
    <row r="240" spans="1:9" s="1" customFormat="1">
      <c r="A240" s="53"/>
      <c r="B240" s="64"/>
      <c r="C240" s="40"/>
      <c r="D240" s="40"/>
      <c r="E240" s="40"/>
      <c r="F240" s="54"/>
      <c r="G240" s="40"/>
      <c r="H240" s="44"/>
      <c r="I240" s="45"/>
    </row>
    <row r="241" spans="1:9" s="1" customFormat="1">
      <c r="A241" s="53"/>
      <c r="B241" s="64"/>
      <c r="C241" s="40"/>
      <c r="D241" s="40"/>
      <c r="E241" s="40"/>
      <c r="F241" s="54"/>
      <c r="G241" s="40"/>
      <c r="H241" s="44"/>
      <c r="I241" s="45"/>
    </row>
    <row r="242" spans="1:9" s="1" customFormat="1">
      <c r="A242" s="53"/>
      <c r="B242" s="64"/>
      <c r="C242" s="40"/>
      <c r="D242" s="40"/>
      <c r="E242" s="40"/>
      <c r="F242" s="54"/>
      <c r="G242" s="40"/>
      <c r="H242" s="44"/>
      <c r="I242" s="45"/>
    </row>
    <row r="243" spans="1:9" s="1" customFormat="1">
      <c r="A243" s="53"/>
      <c r="B243" s="64"/>
      <c r="C243" s="40"/>
      <c r="D243" s="40"/>
      <c r="E243" s="40"/>
      <c r="F243" s="54"/>
      <c r="G243" s="40"/>
      <c r="H243" s="44"/>
      <c r="I243" s="45"/>
    </row>
    <row r="244" spans="1:9" s="1" customFormat="1">
      <c r="A244" s="53"/>
      <c r="B244" s="64"/>
      <c r="C244" s="40"/>
      <c r="D244" s="40"/>
      <c r="E244" s="40"/>
      <c r="F244" s="54"/>
      <c r="G244" s="40"/>
      <c r="H244" s="44"/>
      <c r="I244" s="45"/>
    </row>
    <row r="245" spans="1:9" s="1" customFormat="1">
      <c r="A245" s="53"/>
      <c r="B245" s="64"/>
      <c r="C245" s="40"/>
      <c r="D245" s="40"/>
      <c r="E245" s="40"/>
      <c r="F245" s="54"/>
      <c r="G245" s="40"/>
      <c r="H245" s="44"/>
      <c r="I245" s="45"/>
    </row>
    <row r="246" spans="1:9" s="1" customFormat="1">
      <c r="A246" s="53"/>
      <c r="B246" s="64"/>
      <c r="C246" s="40"/>
      <c r="D246" s="40"/>
      <c r="E246" s="40"/>
      <c r="F246" s="54"/>
      <c r="G246" s="40"/>
      <c r="H246" s="44"/>
      <c r="I246" s="45"/>
    </row>
    <row r="247" spans="1:9" s="1" customFormat="1">
      <c r="A247" s="53"/>
      <c r="B247" s="64"/>
      <c r="C247" s="40"/>
      <c r="D247" s="40"/>
      <c r="E247" s="40"/>
      <c r="F247" s="54"/>
      <c r="G247" s="40"/>
      <c r="H247" s="44"/>
      <c r="I247" s="45"/>
    </row>
    <row r="248" spans="1:9" s="1" customFormat="1">
      <c r="A248" s="53"/>
      <c r="B248" s="64"/>
      <c r="C248" s="40"/>
      <c r="D248" s="40"/>
      <c r="E248" s="40"/>
      <c r="F248" s="54"/>
      <c r="G248" s="40"/>
      <c r="H248" s="44"/>
      <c r="I248" s="45"/>
    </row>
    <row r="249" spans="1:9" s="1" customFormat="1">
      <c r="A249" s="53"/>
      <c r="B249" s="64"/>
      <c r="C249" s="40"/>
      <c r="D249" s="40"/>
      <c r="E249" s="40"/>
      <c r="F249" s="54"/>
      <c r="G249" s="40"/>
      <c r="H249" s="44"/>
      <c r="I249" s="45"/>
    </row>
    <row r="250" spans="1:9" s="1" customFormat="1">
      <c r="A250" s="53"/>
      <c r="B250" s="64"/>
      <c r="C250" s="40"/>
      <c r="D250" s="40"/>
      <c r="E250" s="40"/>
      <c r="F250" s="54"/>
      <c r="G250" s="40"/>
      <c r="H250" s="44"/>
      <c r="I250" s="45"/>
    </row>
    <row r="251" spans="1:9" s="1" customFormat="1">
      <c r="A251" s="53"/>
      <c r="B251" s="64"/>
      <c r="C251" s="40"/>
      <c r="D251" s="40"/>
      <c r="E251" s="40"/>
      <c r="F251" s="54"/>
      <c r="G251" s="40"/>
      <c r="H251" s="44"/>
      <c r="I251" s="45"/>
    </row>
    <row r="252" spans="1:9" s="1" customFormat="1">
      <c r="A252" s="53"/>
      <c r="B252" s="64"/>
      <c r="C252" s="40"/>
      <c r="D252" s="40"/>
      <c r="E252" s="40"/>
      <c r="F252" s="54"/>
      <c r="G252" s="40"/>
      <c r="H252" s="44"/>
      <c r="I252" s="45"/>
    </row>
    <row r="253" spans="1:9" s="1" customFormat="1">
      <c r="A253" s="53"/>
      <c r="B253" s="64"/>
      <c r="C253" s="40"/>
      <c r="D253" s="40"/>
      <c r="E253" s="40"/>
      <c r="F253" s="54"/>
      <c r="G253" s="40"/>
      <c r="H253" s="44"/>
      <c r="I253" s="45"/>
    </row>
    <row r="254" spans="1:9" s="1" customFormat="1">
      <c r="A254" s="53"/>
      <c r="B254" s="64"/>
      <c r="C254" s="40"/>
      <c r="D254" s="40"/>
      <c r="E254" s="40"/>
      <c r="F254" s="54"/>
      <c r="G254" s="40"/>
      <c r="H254" s="44"/>
      <c r="I254" s="45"/>
    </row>
    <row r="255" spans="1:9" s="1" customFormat="1">
      <c r="A255" s="53"/>
      <c r="B255" s="64"/>
      <c r="C255" s="40"/>
      <c r="D255" s="40"/>
      <c r="E255" s="40"/>
      <c r="F255" s="54"/>
      <c r="G255" s="40"/>
      <c r="H255" s="44"/>
      <c r="I255" s="45"/>
    </row>
    <row r="256" spans="1:9" s="1" customFormat="1">
      <c r="A256" s="53"/>
      <c r="B256" s="64"/>
      <c r="C256" s="40"/>
      <c r="D256" s="40"/>
      <c r="E256" s="40"/>
      <c r="F256" s="54"/>
      <c r="G256" s="40"/>
      <c r="H256" s="44"/>
      <c r="I256" s="45"/>
    </row>
    <row r="257" spans="1:9" s="1" customFormat="1">
      <c r="A257" s="53"/>
      <c r="B257" s="64"/>
      <c r="C257" s="40"/>
      <c r="D257" s="40"/>
      <c r="E257" s="40"/>
      <c r="F257" s="54"/>
      <c r="G257" s="40"/>
      <c r="H257" s="44"/>
      <c r="I257" s="45"/>
    </row>
    <row r="258" spans="1:9" s="1" customFormat="1">
      <c r="A258" s="69"/>
      <c r="B258" s="46"/>
      <c r="C258" s="46"/>
      <c r="D258" s="46"/>
      <c r="E258" s="46"/>
      <c r="F258" s="46"/>
      <c r="G258" s="46"/>
      <c r="H258" s="46"/>
      <c r="I258" s="46"/>
    </row>
    <row r="259" spans="1:9" s="1" customFormat="1">
      <c r="A259"/>
      <c r="B259" s="40"/>
      <c r="C259" s="40"/>
      <c r="D259" s="40"/>
      <c r="E259" s="40"/>
      <c r="F259"/>
      <c r="G259"/>
      <c r="H259"/>
      <c r="I259"/>
    </row>
    <row r="260" spans="1:9" s="1" customFormat="1">
      <c r="A260"/>
      <c r="B260"/>
      <c r="C260" s="65"/>
      <c r="D260" s="65"/>
      <c r="E260" s="66"/>
      <c r="F260" s="67"/>
      <c r="G260" s="65"/>
      <c r="H260"/>
      <c r="I260" s="68"/>
    </row>
    <row r="261" spans="1:9" s="1" customFormat="1" ht="12"/>
    <row r="262" spans="1:9" s="1" customFormat="1" ht="20.25">
      <c r="A262" s="42"/>
      <c r="B262" s="41"/>
      <c r="G262" s="43"/>
      <c r="H262" s="43"/>
      <c r="I262" s="43"/>
    </row>
    <row r="263" spans="1:9" s="1" customFormat="1" ht="20.25">
      <c r="A263" s="43"/>
      <c r="B263" s="43"/>
      <c r="C263" s="43"/>
      <c r="D263" s="43"/>
      <c r="E263" s="43"/>
      <c r="F263" s="43"/>
      <c r="G263" s="43"/>
      <c r="H263" s="43"/>
      <c r="I263" s="43"/>
    </row>
    <row r="264" spans="1:9" s="1" customFormat="1" ht="33" customHeight="1">
      <c r="A264" s="506"/>
      <c r="B264" s="563"/>
      <c r="C264" s="563"/>
      <c r="D264" s="147"/>
      <c r="E264" s="43"/>
      <c r="F264" s="43"/>
      <c r="G264" s="43"/>
      <c r="H264" s="43"/>
      <c r="I264" s="43"/>
    </row>
    <row r="265" spans="1:9" s="1" customFormat="1">
      <c r="A265" s="55"/>
      <c r="B265" s="55"/>
      <c r="C265" s="55"/>
      <c r="D265" s="55"/>
      <c r="E265" s="55"/>
      <c r="F265" s="55"/>
      <c r="G265" s="56"/>
      <c r="H265" s="56"/>
      <c r="I265" s="510"/>
    </row>
    <row r="266" spans="1:9" s="1" customFormat="1">
      <c r="A266" s="55"/>
      <c r="B266" s="55"/>
      <c r="C266" s="55"/>
      <c r="D266" s="55"/>
      <c r="E266" s="55"/>
      <c r="F266" s="55"/>
      <c r="G266" s="56"/>
      <c r="H266" s="56"/>
      <c r="I266" s="510"/>
    </row>
    <row r="267" spans="1:9" s="1" customFormat="1">
      <c r="A267"/>
      <c r="B267"/>
      <c r="C267"/>
      <c r="D267"/>
      <c r="E267"/>
      <c r="F267"/>
      <c r="G267"/>
      <c r="H267" s="40"/>
      <c r="I267"/>
    </row>
    <row r="268" spans="1:9" s="1" customFormat="1">
      <c r="A268"/>
      <c r="B268"/>
      <c r="C268"/>
      <c r="D268"/>
      <c r="E268"/>
      <c r="F268"/>
      <c r="G268" s="47"/>
      <c r="H268" s="57"/>
      <c r="I268" s="40"/>
    </row>
    <row r="269" spans="1:9" s="1" customFormat="1">
      <c r="A269"/>
      <c r="B269"/>
      <c r="C269"/>
      <c r="D269"/>
      <c r="E269"/>
      <c r="F269"/>
      <c r="G269" s="48"/>
      <c r="H269" s="57"/>
      <c r="I269" s="40"/>
    </row>
    <row r="270" spans="1:9" s="1" customFormat="1">
      <c r="A270"/>
      <c r="B270"/>
      <c r="C270"/>
      <c r="D270"/>
      <c r="E270"/>
      <c r="F270"/>
      <c r="G270" s="49"/>
      <c r="H270" s="57"/>
      <c r="I270" s="40"/>
    </row>
    <row r="271" spans="1:9" s="1" customFormat="1">
      <c r="A271"/>
      <c r="B271"/>
      <c r="C271"/>
      <c r="D271"/>
      <c r="E271"/>
      <c r="F271"/>
      <c r="G271" s="49"/>
      <c r="H271" s="57"/>
      <c r="I271" s="40"/>
    </row>
    <row r="272" spans="1:9" s="1" customFormat="1">
      <c r="A272"/>
      <c r="B272"/>
      <c r="C272"/>
      <c r="D272"/>
      <c r="E272"/>
      <c r="F272"/>
      <c r="G272" s="49"/>
      <c r="H272" s="57"/>
      <c r="I272" s="40"/>
    </row>
    <row r="273" spans="1:9" s="1" customFormat="1">
      <c r="A273"/>
      <c r="B273"/>
      <c r="C273"/>
      <c r="D273"/>
      <c r="E273"/>
      <c r="F273"/>
      <c r="G273" s="49"/>
      <c r="H273" s="57"/>
      <c r="I273" s="40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 s="55"/>
      <c r="B275" s="55"/>
      <c r="C275" s="55"/>
      <c r="D275" s="55"/>
      <c r="E275" s="55"/>
      <c r="F275" s="55"/>
      <c r="G275" s="509"/>
      <c r="H275" s="58"/>
      <c r="I275" s="58"/>
    </row>
    <row r="276" spans="1:9" s="1" customFormat="1">
      <c r="A276" s="55"/>
      <c r="B276" s="55"/>
      <c r="C276" s="55"/>
      <c r="D276" s="55"/>
      <c r="E276" s="55"/>
      <c r="F276" s="55"/>
      <c r="G276" s="509"/>
      <c r="H276" s="58"/>
      <c r="I276" s="58"/>
    </row>
    <row r="277" spans="1:9" s="1" customFormat="1">
      <c r="A277" s="50"/>
      <c r="B277"/>
      <c r="C277" s="51"/>
      <c r="D277" s="51"/>
      <c r="E277" s="51"/>
      <c r="F277"/>
      <c r="G277" s="51"/>
      <c r="H277" s="59"/>
      <c r="I277" s="40"/>
    </row>
    <row r="278" spans="1:9" s="1" customFormat="1">
      <c r="A278"/>
      <c r="B278"/>
      <c r="C278"/>
      <c r="D278"/>
      <c r="E278"/>
      <c r="F278"/>
      <c r="G278" s="40"/>
      <c r="H278" s="40"/>
      <c r="I278" s="57"/>
    </row>
    <row r="279" spans="1:9" s="1" customFormat="1">
      <c r="A279"/>
      <c r="B279"/>
      <c r="C279"/>
      <c r="D279"/>
      <c r="E279"/>
      <c r="F279"/>
      <c r="G279" s="57"/>
      <c r="H279" s="40"/>
      <c r="I279" s="40"/>
    </row>
    <row r="280" spans="1:9" s="1" customFormat="1">
      <c r="A280"/>
      <c r="B280"/>
      <c r="C280"/>
      <c r="D280"/>
      <c r="E280"/>
      <c r="F280"/>
      <c r="G280" s="38"/>
      <c r="H280" s="40"/>
      <c r="I280" s="40"/>
    </row>
    <row r="281" spans="1:9" s="1" customFormat="1">
      <c r="A281"/>
      <c r="B281"/>
      <c r="C281"/>
      <c r="D281"/>
      <c r="E281"/>
      <c r="F281"/>
      <c r="G281" s="60"/>
      <c r="H281" s="40"/>
      <c r="I281" s="40"/>
    </row>
    <row r="282" spans="1:9" s="1" customFormat="1">
      <c r="A282"/>
      <c r="B282"/>
      <c r="C282"/>
      <c r="D282"/>
      <c r="E282"/>
      <c r="F282" s="40"/>
      <c r="G282"/>
      <c r="H282"/>
      <c r="I282"/>
    </row>
    <row r="283" spans="1:9" s="1" customFormat="1">
      <c r="A283" s="52"/>
      <c r="B283"/>
      <c r="C283"/>
      <c r="D283"/>
      <c r="E283"/>
      <c r="F283" s="40"/>
      <c r="G283"/>
      <c r="H283"/>
      <c r="I283"/>
    </row>
    <row r="284" spans="1:9" s="1" customFormat="1">
      <c r="A284"/>
      <c r="B284" s="61"/>
      <c r="C284"/>
      <c r="D284"/>
      <c r="E284"/>
      <c r="F284"/>
      <c r="G284"/>
      <c r="H284"/>
      <c r="I284"/>
    </row>
    <row r="285" spans="1:9" s="1" customFormat="1">
      <c r="A285" s="507"/>
      <c r="B285" s="62"/>
      <c r="C285" s="62"/>
      <c r="D285" s="62"/>
      <c r="E285" s="507"/>
      <c r="F285" s="507"/>
      <c r="G285" s="507"/>
      <c r="H285" s="507"/>
      <c r="I285" s="507"/>
    </row>
    <row r="286" spans="1:9" s="1" customFormat="1">
      <c r="A286" s="507"/>
      <c r="B286" s="62"/>
      <c r="C286" s="62"/>
      <c r="D286" s="62"/>
      <c r="E286" s="62"/>
      <c r="F286" s="62"/>
      <c r="G286" s="508"/>
      <c r="H286" s="508"/>
      <c r="I286" s="508"/>
    </row>
    <row r="287" spans="1:9" s="1" customFormat="1">
      <c r="A287" s="53"/>
      <c r="B287" s="63"/>
      <c r="C287" s="40"/>
      <c r="D287" s="40"/>
      <c r="E287" s="40"/>
      <c r="F287" s="54"/>
      <c r="G287" s="40"/>
      <c r="H287" s="40"/>
      <c r="I287" s="45"/>
    </row>
    <row r="288" spans="1:9" s="1" customFormat="1">
      <c r="A288" s="53"/>
      <c r="B288" s="63"/>
      <c r="C288" s="40"/>
      <c r="D288" s="40"/>
      <c r="E288" s="40"/>
      <c r="F288" s="54"/>
      <c r="G288" s="40"/>
      <c r="H288" s="44"/>
      <c r="I288" s="45"/>
    </row>
    <row r="289" spans="1:9" s="1" customFormat="1">
      <c r="A289" s="53"/>
      <c r="B289" s="63"/>
      <c r="C289" s="40"/>
      <c r="D289" s="40"/>
      <c r="E289" s="40"/>
      <c r="F289" s="54"/>
      <c r="G289" s="40"/>
      <c r="H289" s="44"/>
      <c r="I289"/>
    </row>
    <row r="290" spans="1:9" s="1" customFormat="1">
      <c r="A290" s="53"/>
      <c r="B290" s="63"/>
      <c r="C290" s="40"/>
      <c r="D290" s="40"/>
      <c r="E290" s="40"/>
      <c r="F290" s="54"/>
      <c r="G290" s="40"/>
      <c r="H290" s="44"/>
      <c r="I290" s="45"/>
    </row>
    <row r="291" spans="1:9" s="1" customFormat="1">
      <c r="A291" s="53"/>
      <c r="B291" s="64"/>
      <c r="C291" s="40"/>
      <c r="D291" s="40"/>
      <c r="E291" s="40"/>
      <c r="F291" s="54"/>
      <c r="G291" s="40"/>
      <c r="H291" s="44"/>
      <c r="I291" s="45"/>
    </row>
    <row r="292" spans="1:9" s="1" customFormat="1">
      <c r="A292" s="53"/>
      <c r="B292" s="64"/>
      <c r="C292" s="40"/>
      <c r="D292" s="40"/>
      <c r="E292" s="40"/>
      <c r="F292" s="54"/>
      <c r="G292" s="40"/>
      <c r="H292" s="44"/>
      <c r="I292" s="45"/>
    </row>
    <row r="293" spans="1:9" s="1" customFormat="1">
      <c r="A293" s="53"/>
      <c r="B293" s="64"/>
      <c r="C293" s="40"/>
      <c r="D293" s="40"/>
      <c r="E293" s="40"/>
      <c r="F293" s="54"/>
      <c r="G293" s="40"/>
      <c r="H293" s="44"/>
      <c r="I293" s="45"/>
    </row>
    <row r="294" spans="1:9" s="1" customFormat="1">
      <c r="A294" s="53"/>
      <c r="B294" s="64"/>
      <c r="C294" s="40"/>
      <c r="D294" s="40"/>
      <c r="E294" s="40"/>
      <c r="F294" s="54"/>
      <c r="G294" s="40"/>
      <c r="H294" s="44"/>
      <c r="I294" s="45"/>
    </row>
    <row r="295" spans="1:9" s="1" customFormat="1">
      <c r="A295" s="53"/>
      <c r="B295" s="64"/>
      <c r="C295" s="40"/>
      <c r="D295" s="40"/>
      <c r="E295" s="40"/>
      <c r="F295" s="54"/>
      <c r="G295" s="40"/>
      <c r="H295" s="44"/>
      <c r="I295" s="45"/>
    </row>
    <row r="296" spans="1:9" s="1" customFormat="1">
      <c r="A296" s="53"/>
      <c r="B296" s="64"/>
      <c r="C296" s="40"/>
      <c r="D296" s="40"/>
      <c r="E296" s="40"/>
      <c r="F296" s="54"/>
      <c r="G296" s="40"/>
      <c r="H296" s="44"/>
      <c r="I296" s="45"/>
    </row>
    <row r="297" spans="1:9" s="1" customFormat="1">
      <c r="A297" s="53"/>
      <c r="B297" s="64"/>
      <c r="C297" s="40"/>
      <c r="D297" s="40"/>
      <c r="E297" s="40"/>
      <c r="F297" s="54"/>
      <c r="G297" s="40"/>
      <c r="H297" s="44"/>
      <c r="I297" s="45"/>
    </row>
    <row r="298" spans="1:9" s="1" customFormat="1">
      <c r="A298" s="53"/>
      <c r="B298" s="64"/>
      <c r="C298" s="40"/>
      <c r="D298" s="40"/>
      <c r="E298" s="40"/>
      <c r="F298" s="54"/>
      <c r="G298" s="40"/>
      <c r="H298" s="44"/>
      <c r="I298" s="45"/>
    </row>
    <row r="299" spans="1:9" s="1" customFormat="1">
      <c r="A299" s="53"/>
      <c r="B299" s="64"/>
      <c r="C299" s="40"/>
      <c r="D299" s="40"/>
      <c r="E299" s="40"/>
      <c r="F299" s="54"/>
      <c r="G299" s="40"/>
      <c r="H299" s="44"/>
      <c r="I299" s="45"/>
    </row>
    <row r="300" spans="1:9" s="1" customFormat="1">
      <c r="A300" s="53"/>
      <c r="B300" s="64"/>
      <c r="C300" s="40"/>
      <c r="D300" s="40"/>
      <c r="E300" s="40"/>
      <c r="F300" s="54"/>
      <c r="G300" s="40"/>
      <c r="H300" s="44"/>
      <c r="I300" s="45"/>
    </row>
    <row r="301" spans="1:9" s="1" customFormat="1">
      <c r="A301" s="53"/>
      <c r="B301" s="64"/>
      <c r="C301" s="40"/>
      <c r="D301" s="40"/>
      <c r="E301" s="40"/>
      <c r="F301" s="54"/>
      <c r="G301" s="40"/>
      <c r="H301" s="44"/>
      <c r="I301" s="45"/>
    </row>
    <row r="302" spans="1:9" s="1" customFormat="1">
      <c r="A302" s="53"/>
      <c r="B302" s="64"/>
      <c r="C302" s="40"/>
      <c r="D302" s="40"/>
      <c r="E302" s="40"/>
      <c r="F302" s="54"/>
      <c r="G302" s="40"/>
      <c r="H302" s="44"/>
      <c r="I302" s="45"/>
    </row>
    <row r="303" spans="1:9" s="1" customFormat="1">
      <c r="A303" s="53"/>
      <c r="B303" s="64"/>
      <c r="C303" s="40"/>
      <c r="D303" s="40"/>
      <c r="E303" s="40"/>
      <c r="F303" s="54"/>
      <c r="G303" s="40"/>
      <c r="H303" s="44"/>
      <c r="I303" s="45"/>
    </row>
    <row r="304" spans="1:9" s="1" customFormat="1">
      <c r="A304" s="53"/>
      <c r="B304" s="64"/>
      <c r="C304" s="40"/>
      <c r="D304" s="40"/>
      <c r="E304" s="40"/>
      <c r="F304" s="54"/>
      <c r="G304" s="40"/>
      <c r="H304" s="44"/>
      <c r="I304" s="45"/>
    </row>
    <row r="305" spans="1:9" s="1" customFormat="1">
      <c r="A305" s="53"/>
      <c r="B305" s="64"/>
      <c r="C305" s="40"/>
      <c r="D305" s="40"/>
      <c r="E305" s="40"/>
      <c r="F305" s="54"/>
      <c r="G305" s="40"/>
      <c r="H305" s="44"/>
      <c r="I305" s="45"/>
    </row>
    <row r="306" spans="1:9" s="1" customFormat="1">
      <c r="A306" s="53"/>
      <c r="B306" s="64"/>
      <c r="C306" s="40"/>
      <c r="D306" s="40"/>
      <c r="E306" s="40"/>
      <c r="F306" s="54"/>
      <c r="G306" s="40"/>
      <c r="H306" s="44"/>
      <c r="I306" s="45"/>
    </row>
    <row r="307" spans="1:9" s="1" customFormat="1">
      <c r="A307" s="53"/>
      <c r="B307" s="64"/>
      <c r="C307" s="40"/>
      <c r="D307" s="40"/>
      <c r="E307" s="40"/>
      <c r="F307" s="54"/>
      <c r="G307" s="40"/>
      <c r="H307" s="44"/>
      <c r="I307" s="45"/>
    </row>
    <row r="308" spans="1:9" s="1" customFormat="1">
      <c r="A308" s="53"/>
      <c r="B308" s="64"/>
      <c r="C308" s="40"/>
      <c r="D308" s="40"/>
      <c r="E308" s="40"/>
      <c r="F308" s="54"/>
      <c r="G308" s="40"/>
      <c r="H308" s="44"/>
      <c r="I308" s="45"/>
    </row>
    <row r="309" spans="1:9" s="1" customFormat="1">
      <c r="A309" s="53"/>
      <c r="B309" s="64"/>
      <c r="C309" s="40"/>
      <c r="D309" s="40"/>
      <c r="E309" s="40"/>
      <c r="F309" s="54"/>
      <c r="G309" s="40"/>
      <c r="H309" s="44"/>
      <c r="I309" s="45"/>
    </row>
    <row r="310" spans="1:9" s="1" customFormat="1">
      <c r="A310" s="53"/>
      <c r="B310" s="64"/>
      <c r="C310" s="40"/>
      <c r="D310" s="40"/>
      <c r="E310" s="40"/>
      <c r="F310" s="54"/>
      <c r="G310" s="40"/>
      <c r="H310" s="44"/>
      <c r="I310" s="45"/>
    </row>
    <row r="311" spans="1:9" s="1" customFormat="1">
      <c r="A311" s="53"/>
      <c r="B311" s="64"/>
      <c r="C311" s="40"/>
      <c r="D311" s="40"/>
      <c r="E311" s="40"/>
      <c r="F311" s="54"/>
      <c r="G311" s="40"/>
      <c r="H311" s="44"/>
      <c r="I311" s="45"/>
    </row>
    <row r="312" spans="1:9" s="1" customFormat="1">
      <c r="A312" s="69"/>
      <c r="B312" s="46"/>
      <c r="C312" s="46"/>
      <c r="D312" s="46"/>
      <c r="E312" s="46"/>
      <c r="F312" s="46"/>
      <c r="G312" s="46"/>
      <c r="H312" s="46"/>
      <c r="I312" s="46"/>
    </row>
    <row r="313" spans="1:9" s="1" customFormat="1">
      <c r="A313"/>
      <c r="B313" s="40"/>
      <c r="C313" s="40"/>
      <c r="D313" s="40"/>
      <c r="E313" s="40"/>
      <c r="F313"/>
      <c r="G313"/>
      <c r="H313"/>
      <c r="I313"/>
    </row>
    <row r="314" spans="1:9" s="1" customFormat="1">
      <c r="A314"/>
      <c r="B314"/>
      <c r="C314" s="65"/>
      <c r="D314" s="65"/>
      <c r="E314" s="66"/>
      <c r="F314" s="67"/>
      <c r="G314" s="65"/>
      <c r="H314"/>
      <c r="I314" s="68"/>
    </row>
    <row r="315" spans="1:9" s="1" customFormat="1" ht="12"/>
    <row r="316" spans="1:9" s="1" customFormat="1" ht="12"/>
    <row r="317" spans="1:9" s="1" customFormat="1" ht="20.25">
      <c r="A317" s="42"/>
      <c r="B317" s="41"/>
      <c r="G317" s="43"/>
      <c r="H317" s="43"/>
      <c r="I317" s="43"/>
    </row>
    <row r="318" spans="1:9" s="1" customFormat="1" ht="20.25">
      <c r="A318" s="43"/>
      <c r="B318" s="43"/>
      <c r="C318" s="43"/>
      <c r="D318" s="43"/>
      <c r="E318" s="43"/>
      <c r="F318" s="43"/>
      <c r="G318" s="43"/>
      <c r="H318" s="43"/>
      <c r="I318" s="43"/>
    </row>
    <row r="319" spans="1:9" s="1" customFormat="1" ht="42.75" customHeight="1">
      <c r="A319" s="506"/>
      <c r="B319" s="563"/>
      <c r="C319" s="563"/>
      <c r="D319" s="147"/>
      <c r="E319" s="43"/>
      <c r="F319" s="43"/>
      <c r="G319" s="43"/>
      <c r="H319" s="43"/>
      <c r="I319" s="43"/>
    </row>
    <row r="320" spans="1:9" s="1" customFormat="1">
      <c r="A320" s="55"/>
      <c r="B320" s="55"/>
      <c r="C320" s="55"/>
      <c r="D320" s="55"/>
      <c r="E320" s="55"/>
      <c r="F320" s="55"/>
      <c r="G320" s="56"/>
      <c r="H320" s="56"/>
      <c r="I320" s="510"/>
    </row>
    <row r="321" spans="1:9" s="1" customFormat="1">
      <c r="A321" s="55"/>
      <c r="B321" s="55"/>
      <c r="C321" s="55"/>
      <c r="D321" s="55"/>
      <c r="E321" s="55"/>
      <c r="F321" s="55"/>
      <c r="G321" s="56"/>
      <c r="H321" s="56"/>
      <c r="I321" s="510"/>
    </row>
    <row r="322" spans="1:9" s="1" customFormat="1">
      <c r="A322"/>
      <c r="B322"/>
      <c r="C322"/>
      <c r="D322"/>
      <c r="E322"/>
      <c r="F322"/>
      <c r="G322"/>
      <c r="H322" s="40"/>
      <c r="I322"/>
    </row>
    <row r="323" spans="1:9" s="1" customFormat="1">
      <c r="A323"/>
      <c r="B323"/>
      <c r="C323"/>
      <c r="D323"/>
      <c r="E323"/>
      <c r="F323"/>
      <c r="G323" s="47"/>
      <c r="H323" s="57"/>
      <c r="I323" s="40"/>
    </row>
    <row r="324" spans="1:9" s="1" customFormat="1">
      <c r="A324"/>
      <c r="B324"/>
      <c r="C324"/>
      <c r="D324"/>
      <c r="E324"/>
      <c r="F324"/>
      <c r="G324" s="48"/>
      <c r="H324" s="57"/>
      <c r="I324" s="40"/>
    </row>
    <row r="325" spans="1:9" s="1" customFormat="1">
      <c r="A325"/>
      <c r="B325"/>
      <c r="C325"/>
      <c r="D325"/>
      <c r="E325"/>
      <c r="F325"/>
      <c r="G325" s="49"/>
      <c r="H325" s="57"/>
      <c r="I325" s="40"/>
    </row>
    <row r="326" spans="1:9" s="1" customFormat="1">
      <c r="A326"/>
      <c r="B326"/>
      <c r="C326"/>
      <c r="D326"/>
      <c r="E326"/>
      <c r="F326"/>
      <c r="G326" s="49"/>
      <c r="H326" s="57"/>
      <c r="I326" s="40"/>
    </row>
    <row r="327" spans="1:9" s="1" customFormat="1">
      <c r="A327"/>
      <c r="B327"/>
      <c r="C327"/>
      <c r="D327"/>
      <c r="E327"/>
      <c r="F327"/>
      <c r="G327" s="49"/>
      <c r="H327" s="57"/>
      <c r="I327" s="40"/>
    </row>
    <row r="328" spans="1:9" s="1" customFormat="1">
      <c r="A328"/>
      <c r="B328"/>
      <c r="C328"/>
      <c r="D328"/>
      <c r="E328"/>
      <c r="F328"/>
      <c r="G328" s="49"/>
      <c r="H328" s="57"/>
      <c r="I328" s="40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 s="55"/>
      <c r="B330" s="55"/>
      <c r="C330" s="55"/>
      <c r="D330" s="55"/>
      <c r="E330" s="55"/>
      <c r="F330" s="55"/>
      <c r="G330" s="509"/>
      <c r="H330" s="58"/>
      <c r="I330" s="58"/>
    </row>
    <row r="331" spans="1:9" s="1" customFormat="1">
      <c r="A331" s="55"/>
      <c r="B331" s="55"/>
      <c r="C331" s="55"/>
      <c r="D331" s="55"/>
      <c r="E331" s="55"/>
      <c r="F331" s="55"/>
      <c r="G331" s="509"/>
      <c r="H331" s="58"/>
      <c r="I331" s="58"/>
    </row>
    <row r="332" spans="1:9" s="1" customFormat="1">
      <c r="A332" s="50"/>
      <c r="B332"/>
      <c r="C332" s="51"/>
      <c r="D332" s="51"/>
      <c r="E332" s="51"/>
      <c r="F332"/>
      <c r="G332" s="51"/>
      <c r="H332" s="59"/>
      <c r="I332" s="40"/>
    </row>
    <row r="333" spans="1:9" s="1" customFormat="1">
      <c r="A333"/>
      <c r="B333"/>
      <c r="C333"/>
      <c r="D333"/>
      <c r="E333"/>
      <c r="F333"/>
      <c r="G333" s="40"/>
      <c r="H333" s="40"/>
      <c r="I333" s="57"/>
    </row>
    <row r="334" spans="1:9" s="1" customFormat="1">
      <c r="A334"/>
      <c r="B334"/>
      <c r="C334"/>
      <c r="D334"/>
      <c r="E334"/>
      <c r="F334"/>
      <c r="G334" s="57"/>
      <c r="H334" s="40"/>
      <c r="I334" s="40"/>
    </row>
    <row r="335" spans="1:9" s="1" customFormat="1">
      <c r="A335"/>
      <c r="B335"/>
      <c r="C335"/>
      <c r="D335"/>
      <c r="E335"/>
      <c r="F335"/>
      <c r="G335" s="38"/>
      <c r="H335" s="40"/>
      <c r="I335" s="40"/>
    </row>
    <row r="336" spans="1:9" s="1" customFormat="1">
      <c r="A336"/>
      <c r="B336"/>
      <c r="C336"/>
      <c r="D336"/>
      <c r="E336"/>
      <c r="F336"/>
      <c r="G336" s="60"/>
      <c r="H336" s="40"/>
      <c r="I336" s="40"/>
    </row>
    <row r="337" spans="1:9" s="1" customFormat="1">
      <c r="A337"/>
      <c r="B337"/>
      <c r="C337"/>
      <c r="D337"/>
      <c r="E337"/>
      <c r="F337" s="40"/>
      <c r="G337"/>
      <c r="H337"/>
      <c r="I337"/>
    </row>
    <row r="338" spans="1:9" s="1" customFormat="1">
      <c r="A338" s="52"/>
      <c r="B338"/>
      <c r="C338"/>
      <c r="D338"/>
      <c r="E338"/>
      <c r="F338" s="40"/>
      <c r="G338"/>
      <c r="H338"/>
      <c r="I338"/>
    </row>
    <row r="339" spans="1:9" s="1" customFormat="1">
      <c r="A339"/>
      <c r="B339" s="61"/>
      <c r="C339"/>
      <c r="D339"/>
      <c r="E339"/>
      <c r="F339"/>
      <c r="G339"/>
      <c r="H339"/>
      <c r="I339"/>
    </row>
    <row r="340" spans="1:9" s="1" customFormat="1">
      <c r="A340" s="507"/>
      <c r="B340" s="62"/>
      <c r="C340" s="62"/>
      <c r="D340" s="62"/>
      <c r="E340" s="507"/>
      <c r="F340" s="507"/>
      <c r="G340" s="507"/>
      <c r="H340" s="507"/>
      <c r="I340" s="507"/>
    </row>
    <row r="341" spans="1:9" s="1" customFormat="1">
      <c r="A341" s="507"/>
      <c r="B341" s="62"/>
      <c r="C341" s="62"/>
      <c r="D341" s="62"/>
      <c r="E341" s="62"/>
      <c r="F341" s="62"/>
      <c r="G341" s="508"/>
      <c r="H341" s="508"/>
      <c r="I341" s="508"/>
    </row>
    <row r="342" spans="1:9" s="1" customFormat="1">
      <c r="A342" s="53"/>
      <c r="B342" s="63"/>
      <c r="C342" s="40"/>
      <c r="D342" s="40"/>
      <c r="E342" s="40"/>
      <c r="F342" s="54"/>
      <c r="G342" s="40"/>
      <c r="H342" s="40"/>
      <c r="I342" s="45"/>
    </row>
    <row r="343" spans="1:9" s="1" customFormat="1">
      <c r="A343" s="53"/>
      <c r="B343" s="63"/>
      <c r="C343" s="40"/>
      <c r="D343" s="40"/>
      <c r="E343" s="40"/>
      <c r="F343" s="54"/>
      <c r="G343" s="40"/>
      <c r="H343" s="44"/>
      <c r="I343" s="45"/>
    </row>
    <row r="344" spans="1:9" s="1" customFormat="1">
      <c r="A344" s="53"/>
      <c r="B344" s="63"/>
      <c r="C344" s="40"/>
      <c r="D344" s="40"/>
      <c r="E344" s="40"/>
      <c r="F344" s="54"/>
      <c r="G344" s="40"/>
      <c r="H344" s="44"/>
      <c r="I344"/>
    </row>
    <row r="345" spans="1:9" s="1" customFormat="1">
      <c r="A345" s="53"/>
      <c r="B345" s="63"/>
      <c r="C345" s="40"/>
      <c r="D345" s="40"/>
      <c r="E345" s="40"/>
      <c r="F345" s="54"/>
      <c r="G345" s="40"/>
      <c r="H345" s="44"/>
      <c r="I345" s="45"/>
    </row>
    <row r="346" spans="1:9" s="1" customFormat="1">
      <c r="A346" s="53"/>
      <c r="B346" s="64"/>
      <c r="C346" s="40"/>
      <c r="D346" s="40"/>
      <c r="E346" s="40"/>
      <c r="F346" s="54"/>
      <c r="G346" s="40"/>
      <c r="H346" s="44"/>
      <c r="I346" s="45"/>
    </row>
    <row r="347" spans="1:9" s="1" customFormat="1">
      <c r="A347" s="53"/>
      <c r="B347" s="64"/>
      <c r="C347" s="40"/>
      <c r="D347" s="40"/>
      <c r="E347" s="40"/>
      <c r="F347" s="54"/>
      <c r="G347" s="40"/>
      <c r="H347" s="44"/>
      <c r="I347" s="45"/>
    </row>
    <row r="348" spans="1:9" s="1" customFormat="1">
      <c r="A348" s="53"/>
      <c r="B348" s="64"/>
      <c r="C348" s="40"/>
      <c r="D348" s="40"/>
      <c r="E348" s="40"/>
      <c r="F348" s="54"/>
      <c r="G348" s="40"/>
      <c r="H348" s="44"/>
      <c r="I348" s="45"/>
    </row>
    <row r="349" spans="1:9" s="1" customFormat="1">
      <c r="A349" s="53"/>
      <c r="B349" s="64"/>
      <c r="C349" s="40"/>
      <c r="D349" s="40"/>
      <c r="E349" s="40"/>
      <c r="F349" s="54"/>
      <c r="G349" s="40"/>
      <c r="H349" s="44"/>
      <c r="I349" s="45"/>
    </row>
    <row r="350" spans="1:9" s="1" customFormat="1">
      <c r="A350" s="53"/>
      <c r="B350" s="64"/>
      <c r="C350" s="40"/>
      <c r="D350" s="40"/>
      <c r="E350" s="40"/>
      <c r="F350" s="54"/>
      <c r="G350" s="40"/>
      <c r="H350" s="44"/>
      <c r="I350" s="45"/>
    </row>
    <row r="351" spans="1:9" s="1" customFormat="1">
      <c r="A351" s="53"/>
      <c r="B351" s="64"/>
      <c r="C351" s="40"/>
      <c r="D351" s="40"/>
      <c r="E351" s="40"/>
      <c r="F351" s="54"/>
      <c r="G351" s="40"/>
      <c r="H351" s="44"/>
      <c r="I351" s="45"/>
    </row>
    <row r="352" spans="1:9" s="1" customFormat="1">
      <c r="A352" s="53"/>
      <c r="B352" s="64"/>
      <c r="C352" s="40"/>
      <c r="D352" s="40"/>
      <c r="E352" s="40"/>
      <c r="F352" s="54"/>
      <c r="G352" s="40"/>
      <c r="H352" s="44"/>
      <c r="I352" s="45"/>
    </row>
    <row r="353" spans="1:9" s="1" customFormat="1">
      <c r="A353" s="53"/>
      <c r="B353" s="64"/>
      <c r="C353" s="40"/>
      <c r="D353" s="40"/>
      <c r="E353" s="40"/>
      <c r="F353" s="54"/>
      <c r="G353" s="40"/>
      <c r="H353" s="44"/>
      <c r="I353" s="45"/>
    </row>
    <row r="354" spans="1:9" s="1" customFormat="1">
      <c r="A354" s="53"/>
      <c r="B354" s="64"/>
      <c r="C354" s="40"/>
      <c r="D354" s="40"/>
      <c r="E354" s="40"/>
      <c r="F354" s="54"/>
      <c r="G354" s="40"/>
      <c r="H354" s="44"/>
      <c r="I354" s="45"/>
    </row>
    <row r="355" spans="1:9" s="1" customFormat="1">
      <c r="A355" s="53"/>
      <c r="B355" s="64"/>
      <c r="C355" s="40"/>
      <c r="D355" s="40"/>
      <c r="E355" s="40"/>
      <c r="F355" s="54"/>
      <c r="G355" s="40"/>
      <c r="H355" s="44"/>
      <c r="I355" s="45"/>
    </row>
    <row r="356" spans="1:9" s="1" customFormat="1">
      <c r="A356" s="53"/>
      <c r="B356" s="64"/>
      <c r="C356" s="40"/>
      <c r="D356" s="40"/>
      <c r="E356" s="40"/>
      <c r="F356" s="54"/>
      <c r="G356" s="40"/>
      <c r="H356" s="44"/>
      <c r="I356" s="45"/>
    </row>
    <row r="357" spans="1:9" s="1" customFormat="1">
      <c r="A357" s="53"/>
      <c r="B357" s="64"/>
      <c r="C357" s="40"/>
      <c r="D357" s="40"/>
      <c r="E357" s="40"/>
      <c r="F357" s="54"/>
      <c r="G357" s="40"/>
      <c r="H357" s="44"/>
      <c r="I357" s="45"/>
    </row>
    <row r="358" spans="1:9" s="1" customFormat="1">
      <c r="A358" s="53"/>
      <c r="B358" s="64"/>
      <c r="C358" s="40"/>
      <c r="D358" s="40"/>
      <c r="E358" s="40"/>
      <c r="F358" s="54"/>
      <c r="G358" s="40"/>
      <c r="H358" s="44"/>
      <c r="I358" s="45"/>
    </row>
    <row r="359" spans="1:9" s="1" customFormat="1">
      <c r="A359" s="53"/>
      <c r="B359" s="64"/>
      <c r="C359" s="40"/>
      <c r="D359" s="40"/>
      <c r="E359" s="40"/>
      <c r="F359" s="54"/>
      <c r="G359" s="40"/>
      <c r="H359" s="44"/>
      <c r="I359" s="45"/>
    </row>
    <row r="360" spans="1:9" s="1" customFormat="1">
      <c r="A360" s="53"/>
      <c r="B360" s="64"/>
      <c r="C360" s="40"/>
      <c r="D360" s="40"/>
      <c r="E360" s="40"/>
      <c r="F360" s="54"/>
      <c r="G360" s="40"/>
      <c r="H360" s="44"/>
      <c r="I360" s="45"/>
    </row>
    <row r="361" spans="1:9" s="1" customFormat="1">
      <c r="A361" s="53"/>
      <c r="B361" s="64"/>
      <c r="C361" s="40"/>
      <c r="D361" s="40"/>
      <c r="E361" s="40"/>
      <c r="F361" s="54"/>
      <c r="G361" s="40"/>
      <c r="H361" s="44"/>
      <c r="I361" s="45"/>
    </row>
    <row r="362" spans="1:9" s="1" customFormat="1">
      <c r="A362" s="53"/>
      <c r="B362" s="64"/>
      <c r="C362" s="40"/>
      <c r="D362" s="40"/>
      <c r="E362" s="40"/>
      <c r="F362" s="54"/>
      <c r="G362" s="40"/>
      <c r="H362" s="44"/>
      <c r="I362" s="45"/>
    </row>
    <row r="363" spans="1:9" s="1" customFormat="1">
      <c r="A363" s="53"/>
      <c r="B363" s="64"/>
      <c r="C363" s="40"/>
      <c r="D363" s="40"/>
      <c r="E363" s="40"/>
      <c r="F363" s="54"/>
      <c r="G363" s="40"/>
      <c r="H363" s="44"/>
      <c r="I363" s="45"/>
    </row>
    <row r="364" spans="1:9" s="1" customFormat="1">
      <c r="A364" s="53"/>
      <c r="B364" s="64"/>
      <c r="C364" s="40"/>
      <c r="D364" s="40"/>
      <c r="E364" s="40"/>
      <c r="F364" s="54"/>
      <c r="G364" s="40"/>
      <c r="H364" s="44"/>
      <c r="I364" s="45"/>
    </row>
    <row r="365" spans="1:9" s="1" customFormat="1">
      <c r="A365" s="53"/>
      <c r="B365" s="64"/>
      <c r="C365" s="40"/>
      <c r="D365" s="40"/>
      <c r="E365" s="40"/>
      <c r="F365" s="54"/>
      <c r="G365" s="40"/>
      <c r="H365" s="44"/>
      <c r="I365" s="45"/>
    </row>
    <row r="366" spans="1:9" s="1" customFormat="1">
      <c r="A366" s="53"/>
      <c r="B366" s="64"/>
      <c r="C366" s="40"/>
      <c r="D366" s="40"/>
      <c r="E366" s="40"/>
      <c r="F366" s="54"/>
      <c r="G366" s="40"/>
      <c r="H366" s="44"/>
      <c r="I366" s="45"/>
    </row>
    <row r="367" spans="1:9" s="1" customFormat="1">
      <c r="A367" s="69"/>
      <c r="B367" s="46"/>
      <c r="C367" s="46"/>
      <c r="D367" s="46"/>
      <c r="E367" s="46"/>
      <c r="F367" s="46"/>
      <c r="G367" s="46"/>
      <c r="H367" s="46"/>
      <c r="I367" s="46"/>
    </row>
    <row r="368" spans="1:9" s="1" customFormat="1">
      <c r="A368"/>
      <c r="B368" s="40"/>
      <c r="C368" s="40"/>
      <c r="D368" s="40"/>
      <c r="E368" s="40"/>
      <c r="F368"/>
      <c r="G368"/>
      <c r="H368"/>
      <c r="I368"/>
    </row>
    <row r="369" spans="1:9" s="1" customFormat="1">
      <c r="A369"/>
      <c r="B369"/>
      <c r="C369" s="65"/>
      <c r="D369" s="65"/>
      <c r="E369" s="66"/>
      <c r="F369" s="67"/>
      <c r="G369" s="65"/>
      <c r="H369"/>
      <c r="I369" s="68"/>
    </row>
    <row r="370" spans="1:9" s="1" customFormat="1" ht="12"/>
    <row r="371" spans="1:9" s="1" customFormat="1" ht="20.25">
      <c r="A371" s="42"/>
      <c r="B371" s="41"/>
      <c r="G371" s="43"/>
      <c r="H371" s="43"/>
      <c r="I371" s="43"/>
    </row>
    <row r="372" spans="1:9" s="1" customFormat="1" ht="41.25" customHeight="1">
      <c r="A372" s="506"/>
      <c r="B372" s="563"/>
      <c r="C372" s="563"/>
      <c r="D372" s="147"/>
      <c r="E372" s="43"/>
      <c r="F372" s="43"/>
      <c r="G372" s="43"/>
      <c r="H372" s="43"/>
      <c r="I372" s="43"/>
    </row>
    <row r="373" spans="1:9" s="1" customFormat="1">
      <c r="A373" s="55"/>
      <c r="B373" s="55"/>
      <c r="C373" s="55"/>
      <c r="D373" s="55"/>
      <c r="E373" s="55"/>
      <c r="F373" s="55"/>
      <c r="G373" s="56"/>
      <c r="H373" s="56"/>
      <c r="I373" s="510"/>
    </row>
    <row r="374" spans="1:9" s="1" customFormat="1">
      <c r="A374" s="55"/>
      <c r="B374" s="55"/>
      <c r="C374" s="55"/>
      <c r="D374" s="55"/>
      <c r="E374" s="55"/>
      <c r="F374" s="55"/>
      <c r="G374" s="56"/>
      <c r="H374" s="56"/>
      <c r="I374" s="510"/>
    </row>
    <row r="375" spans="1:9" s="1" customFormat="1">
      <c r="A375"/>
      <c r="B375"/>
      <c r="C375"/>
      <c r="D375"/>
      <c r="E375"/>
      <c r="F375"/>
      <c r="G375"/>
      <c r="H375" s="40"/>
      <c r="I375"/>
    </row>
    <row r="376" spans="1:9" s="1" customFormat="1">
      <c r="A376"/>
      <c r="B376"/>
      <c r="C376"/>
      <c r="D376"/>
      <c r="E376"/>
      <c r="F376"/>
      <c r="G376" s="48"/>
      <c r="H376" s="57"/>
      <c r="I376" s="40"/>
    </row>
    <row r="377" spans="1:9" s="1" customFormat="1">
      <c r="A377"/>
      <c r="B377"/>
      <c r="C377"/>
      <c r="D377"/>
      <c r="E377"/>
      <c r="F377"/>
      <c r="G377" s="48"/>
      <c r="H377" s="57"/>
      <c r="I377" s="40"/>
    </row>
    <row r="378" spans="1:9" s="1" customFormat="1">
      <c r="A378"/>
      <c r="B378"/>
      <c r="C378"/>
      <c r="D378"/>
      <c r="E378"/>
      <c r="F378"/>
      <c r="G378" s="49"/>
      <c r="H378" s="57"/>
      <c r="I378" s="40"/>
    </row>
    <row r="379" spans="1:9" s="1" customFormat="1">
      <c r="A379"/>
      <c r="B379"/>
      <c r="C379"/>
      <c r="D379"/>
      <c r="E379"/>
      <c r="F379"/>
      <c r="G379" s="49"/>
      <c r="H379" s="57"/>
      <c r="I379" s="40"/>
    </row>
    <row r="380" spans="1:9" s="1" customFormat="1">
      <c r="A380"/>
      <c r="B380"/>
      <c r="C380"/>
      <c r="D380"/>
      <c r="E380"/>
      <c r="F380"/>
      <c r="G380" s="49"/>
      <c r="H380" s="57"/>
      <c r="I380" s="40"/>
    </row>
    <row r="381" spans="1:9" s="1" customFormat="1">
      <c r="A381"/>
      <c r="B381"/>
      <c r="C381"/>
      <c r="D381"/>
      <c r="E381"/>
      <c r="F381"/>
      <c r="G381" s="49"/>
      <c r="H381" s="57"/>
      <c r="I381" s="40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 s="55"/>
      <c r="B383" s="55"/>
      <c r="C383" s="55"/>
      <c r="D383" s="55"/>
      <c r="E383" s="55"/>
      <c r="F383" s="55"/>
      <c r="G383" s="509"/>
      <c r="H383" s="58"/>
      <c r="I383" s="58"/>
    </row>
    <row r="384" spans="1:9" s="1" customFormat="1">
      <c r="A384" s="55"/>
      <c r="B384" s="55"/>
      <c r="C384" s="55"/>
      <c r="D384" s="55"/>
      <c r="E384" s="55"/>
      <c r="F384" s="55"/>
      <c r="G384" s="509"/>
      <c r="H384" s="58"/>
      <c r="I384" s="58"/>
    </row>
    <row r="385" spans="1:9" s="1" customFormat="1">
      <c r="A385" s="50"/>
      <c r="B385"/>
      <c r="C385" s="51"/>
      <c r="D385" s="51"/>
      <c r="E385" s="51"/>
      <c r="F385"/>
      <c r="G385" s="51"/>
      <c r="H385" s="59"/>
      <c r="I385" s="40"/>
    </row>
    <row r="386" spans="1:9" s="1" customFormat="1">
      <c r="A386"/>
      <c r="B386"/>
      <c r="C386"/>
      <c r="D386"/>
      <c r="E386"/>
      <c r="F386"/>
      <c r="G386" s="40"/>
      <c r="H386" s="40"/>
      <c r="I386" s="57"/>
    </row>
    <row r="387" spans="1:9" s="1" customFormat="1">
      <c r="A387"/>
      <c r="B387"/>
      <c r="C387"/>
      <c r="D387"/>
      <c r="E387"/>
      <c r="F387"/>
      <c r="G387" s="57"/>
      <c r="H387" s="40"/>
      <c r="I387" s="40"/>
    </row>
    <row r="388" spans="1:9" s="1" customFormat="1">
      <c r="A388"/>
      <c r="B388"/>
      <c r="C388"/>
      <c r="D388"/>
      <c r="E388"/>
      <c r="F388"/>
      <c r="G388" s="38"/>
      <c r="H388" s="40"/>
      <c r="I388" s="40"/>
    </row>
    <row r="389" spans="1:9" s="1" customFormat="1">
      <c r="A389"/>
      <c r="B389"/>
      <c r="C389"/>
      <c r="D389"/>
      <c r="E389"/>
      <c r="F389"/>
      <c r="G389" s="60"/>
      <c r="H389" s="40"/>
      <c r="I389" s="40"/>
    </row>
    <row r="390" spans="1:9" s="1" customFormat="1">
      <c r="A390"/>
      <c r="B390"/>
      <c r="C390"/>
      <c r="D390"/>
      <c r="E390"/>
      <c r="F390" s="40"/>
      <c r="G390"/>
      <c r="H390"/>
      <c r="I390"/>
    </row>
    <row r="391" spans="1:9" s="1" customFormat="1">
      <c r="A391" s="52"/>
      <c r="B391"/>
      <c r="C391"/>
      <c r="D391"/>
      <c r="E391"/>
      <c r="F391" s="40"/>
      <c r="G391"/>
      <c r="H391"/>
      <c r="I391"/>
    </row>
    <row r="392" spans="1:9" s="1" customFormat="1">
      <c r="A392"/>
      <c r="B392" s="61"/>
      <c r="C392"/>
      <c r="D392"/>
      <c r="E392"/>
      <c r="F392"/>
      <c r="G392"/>
      <c r="H392"/>
      <c r="I392"/>
    </row>
    <row r="393" spans="1:9" s="1" customFormat="1">
      <c r="A393" s="507"/>
      <c r="B393" s="62"/>
      <c r="C393" s="62"/>
      <c r="D393" s="62"/>
      <c r="E393" s="507"/>
      <c r="F393" s="507"/>
      <c r="G393" s="507"/>
      <c r="H393" s="507"/>
      <c r="I393" s="507"/>
    </row>
    <row r="394" spans="1:9" s="1" customFormat="1">
      <c r="A394" s="507"/>
      <c r="B394" s="62"/>
      <c r="C394" s="62"/>
      <c r="D394" s="62"/>
      <c r="E394" s="62"/>
      <c r="F394" s="62"/>
      <c r="G394" s="508"/>
      <c r="H394" s="508"/>
      <c r="I394" s="508"/>
    </row>
    <row r="395" spans="1:9" s="1" customFormat="1">
      <c r="A395" s="53"/>
      <c r="B395" s="63"/>
      <c r="C395" s="40"/>
      <c r="D395" s="40"/>
      <c r="E395" s="40"/>
      <c r="F395" s="54"/>
      <c r="G395" s="40"/>
      <c r="H395" s="40"/>
      <c r="I395" s="45"/>
    </row>
    <row r="396" spans="1:9" s="1" customFormat="1">
      <c r="A396" s="53"/>
      <c r="B396" s="63"/>
      <c r="C396" s="40"/>
      <c r="D396" s="40"/>
      <c r="E396" s="40"/>
      <c r="F396" s="54"/>
      <c r="G396" s="40"/>
      <c r="H396" s="44"/>
      <c r="I396" s="45"/>
    </row>
    <row r="397" spans="1:9" s="1" customFormat="1">
      <c r="A397" s="53"/>
      <c r="B397" s="63"/>
      <c r="C397" s="40"/>
      <c r="D397" s="40"/>
      <c r="E397" s="40"/>
      <c r="F397" s="54"/>
      <c r="G397" s="40"/>
      <c r="H397" s="44"/>
      <c r="I397"/>
    </row>
    <row r="398" spans="1:9" s="1" customFormat="1">
      <c r="A398" s="53"/>
      <c r="B398" s="63"/>
      <c r="C398" s="40"/>
      <c r="D398" s="40"/>
      <c r="E398" s="40"/>
      <c r="F398" s="54"/>
      <c r="G398" s="40"/>
      <c r="H398" s="44"/>
      <c r="I398" s="45"/>
    </row>
    <row r="399" spans="1:9" s="1" customFormat="1">
      <c r="A399" s="53"/>
      <c r="B399" s="64"/>
      <c r="C399" s="40"/>
      <c r="D399" s="40"/>
      <c r="E399" s="40"/>
      <c r="F399" s="54"/>
      <c r="G399" s="40"/>
      <c r="H399" s="44"/>
      <c r="I399" s="45"/>
    </row>
    <row r="400" spans="1:9" s="1" customFormat="1">
      <c r="A400" s="53"/>
      <c r="B400" s="64"/>
      <c r="C400" s="40"/>
      <c r="D400" s="40"/>
      <c r="E400" s="40"/>
      <c r="F400" s="54"/>
      <c r="G400" s="40"/>
      <c r="H400" s="44"/>
      <c r="I400" s="45"/>
    </row>
    <row r="401" spans="1:9" s="1" customFormat="1">
      <c r="A401" s="53"/>
      <c r="B401" s="64"/>
      <c r="C401" s="40"/>
      <c r="D401" s="40"/>
      <c r="E401" s="40"/>
      <c r="F401" s="54"/>
      <c r="G401" s="40"/>
      <c r="H401" s="44"/>
      <c r="I401" s="45"/>
    </row>
    <row r="402" spans="1:9" s="1" customFormat="1">
      <c r="A402" s="53"/>
      <c r="B402" s="64"/>
      <c r="C402" s="40"/>
      <c r="D402" s="40"/>
      <c r="E402" s="40"/>
      <c r="F402" s="54"/>
      <c r="G402" s="40"/>
      <c r="H402" s="44"/>
      <c r="I402" s="45"/>
    </row>
    <row r="403" spans="1:9" s="1" customFormat="1">
      <c r="A403" s="53"/>
      <c r="B403" s="64"/>
      <c r="C403" s="40"/>
      <c r="D403" s="40"/>
      <c r="E403" s="40"/>
      <c r="F403" s="54"/>
      <c r="G403" s="40"/>
      <c r="H403" s="44"/>
      <c r="I403" s="45"/>
    </row>
    <row r="404" spans="1:9" s="1" customFormat="1">
      <c r="A404" s="53"/>
      <c r="B404" s="64"/>
      <c r="C404" s="40"/>
      <c r="D404" s="40"/>
      <c r="E404" s="40"/>
      <c r="F404" s="54"/>
      <c r="G404" s="40"/>
      <c r="H404" s="44"/>
      <c r="I404" s="45"/>
    </row>
    <row r="405" spans="1:9" s="1" customFormat="1">
      <c r="A405" s="53"/>
      <c r="B405" s="64"/>
      <c r="C405" s="40"/>
      <c r="D405" s="40"/>
      <c r="E405" s="40"/>
      <c r="F405" s="54"/>
      <c r="G405" s="40"/>
      <c r="H405" s="44"/>
      <c r="I405" s="45"/>
    </row>
    <row r="406" spans="1:9" s="1" customFormat="1">
      <c r="A406" s="53"/>
      <c r="B406" s="64"/>
      <c r="C406" s="40"/>
      <c r="D406" s="40"/>
      <c r="E406" s="40"/>
      <c r="F406" s="54"/>
      <c r="G406" s="40"/>
      <c r="H406" s="44"/>
      <c r="I406" s="45"/>
    </row>
    <row r="407" spans="1:9" s="1" customFormat="1">
      <c r="A407" s="53"/>
      <c r="B407" s="64"/>
      <c r="C407" s="40"/>
      <c r="D407" s="40"/>
      <c r="E407" s="40"/>
      <c r="F407" s="54"/>
      <c r="G407" s="40"/>
      <c r="H407" s="44"/>
      <c r="I407" s="45"/>
    </row>
    <row r="408" spans="1:9" s="1" customFormat="1">
      <c r="A408" s="53"/>
      <c r="B408" s="64"/>
      <c r="C408" s="40"/>
      <c r="D408" s="40"/>
      <c r="E408" s="40"/>
      <c r="F408" s="54"/>
      <c r="G408" s="40"/>
      <c r="H408" s="44"/>
      <c r="I408" s="45"/>
    </row>
    <row r="409" spans="1:9" s="1" customFormat="1">
      <c r="A409" s="53"/>
      <c r="B409" s="64"/>
      <c r="C409" s="40"/>
      <c r="D409" s="40"/>
      <c r="E409" s="40"/>
      <c r="F409" s="54"/>
      <c r="G409" s="40"/>
      <c r="H409" s="44"/>
      <c r="I409" s="45"/>
    </row>
    <row r="410" spans="1:9" s="1" customFormat="1">
      <c r="A410" s="53"/>
      <c r="B410" s="64"/>
      <c r="C410" s="40"/>
      <c r="D410" s="40"/>
      <c r="E410" s="40"/>
      <c r="F410" s="54"/>
      <c r="G410" s="40"/>
      <c r="H410" s="44"/>
      <c r="I410" s="45"/>
    </row>
    <row r="411" spans="1:9" s="1" customFormat="1">
      <c r="A411" s="53"/>
      <c r="B411" s="64"/>
      <c r="C411" s="40"/>
      <c r="D411" s="40"/>
      <c r="E411" s="40"/>
      <c r="F411" s="54"/>
      <c r="G411" s="40"/>
      <c r="H411" s="44"/>
      <c r="I411" s="45"/>
    </row>
    <row r="412" spans="1:9" s="1" customFormat="1">
      <c r="A412" s="53"/>
      <c r="B412" s="64"/>
      <c r="C412" s="40"/>
      <c r="D412" s="40"/>
      <c r="E412" s="40"/>
      <c r="F412" s="54"/>
      <c r="G412" s="40"/>
      <c r="H412" s="44"/>
      <c r="I412" s="45"/>
    </row>
    <row r="413" spans="1:9" s="1" customFormat="1">
      <c r="A413" s="53"/>
      <c r="B413" s="64"/>
      <c r="C413" s="40"/>
      <c r="D413" s="40"/>
      <c r="E413" s="40"/>
      <c r="F413" s="54"/>
      <c r="G413" s="40"/>
      <c r="H413" s="44"/>
      <c r="I413" s="45"/>
    </row>
    <row r="414" spans="1:9" s="1" customFormat="1">
      <c r="A414" s="53"/>
      <c r="B414" s="64"/>
      <c r="C414" s="40"/>
      <c r="D414" s="40"/>
      <c r="E414" s="40"/>
      <c r="F414" s="54"/>
      <c r="G414" s="40"/>
      <c r="H414" s="44"/>
      <c r="I414" s="45"/>
    </row>
    <row r="415" spans="1:9" s="1" customFormat="1">
      <c r="A415" s="53"/>
      <c r="B415" s="64"/>
      <c r="C415" s="40"/>
      <c r="D415" s="40"/>
      <c r="E415" s="40"/>
      <c r="F415" s="54"/>
      <c r="G415" s="40"/>
      <c r="H415" s="44"/>
      <c r="I415" s="45"/>
    </row>
    <row r="416" spans="1:9" s="1" customFormat="1">
      <c r="A416" s="53"/>
      <c r="B416" s="64"/>
      <c r="C416" s="40"/>
      <c r="D416" s="40"/>
      <c r="E416" s="40"/>
      <c r="F416" s="54"/>
      <c r="G416" s="40"/>
      <c r="H416" s="44"/>
      <c r="I416" s="45"/>
    </row>
    <row r="417" spans="1:9" s="1" customFormat="1">
      <c r="A417" s="53"/>
      <c r="B417" s="64"/>
      <c r="C417" s="40"/>
      <c r="D417" s="40"/>
      <c r="E417" s="40"/>
      <c r="F417" s="54"/>
      <c r="G417" s="40"/>
      <c r="H417" s="44"/>
      <c r="I417" s="45"/>
    </row>
    <row r="418" spans="1:9" s="1" customFormat="1">
      <c r="A418" s="53"/>
      <c r="B418" s="64"/>
      <c r="C418" s="40"/>
      <c r="D418" s="40"/>
      <c r="E418" s="40"/>
      <c r="F418" s="54"/>
      <c r="G418" s="40"/>
      <c r="H418" s="44"/>
      <c r="I418" s="45"/>
    </row>
    <row r="419" spans="1:9" s="1" customFormat="1">
      <c r="A419" s="53"/>
      <c r="B419" s="64"/>
      <c r="C419" s="40"/>
      <c r="D419" s="40"/>
      <c r="E419" s="40"/>
      <c r="F419" s="54"/>
      <c r="G419" s="40"/>
      <c r="H419" s="44"/>
      <c r="I419" s="45"/>
    </row>
    <row r="420" spans="1:9" s="1" customFormat="1">
      <c r="A420" s="69"/>
      <c r="B420" s="46"/>
      <c r="C420" s="46"/>
      <c r="D420" s="46"/>
      <c r="E420" s="46"/>
      <c r="F420" s="46"/>
      <c r="G420" s="46"/>
      <c r="H420" s="46"/>
      <c r="I420" s="46"/>
    </row>
    <row r="421" spans="1:9" s="1" customFormat="1">
      <c r="A421"/>
      <c r="B421" s="40"/>
      <c r="C421" s="40"/>
      <c r="D421" s="40"/>
      <c r="E421" s="40"/>
      <c r="F421"/>
      <c r="G421"/>
      <c r="H421"/>
      <c r="I421"/>
    </row>
    <row r="422" spans="1:9" s="1" customFormat="1">
      <c r="A422"/>
      <c r="B422"/>
      <c r="C422" s="65"/>
      <c r="D422" s="65"/>
      <c r="E422" s="66"/>
      <c r="F422" s="67"/>
      <c r="G422" s="65"/>
      <c r="H422"/>
      <c r="I422" s="68"/>
    </row>
    <row r="423" spans="1:9" s="1" customFormat="1" ht="12"/>
    <row r="424" spans="1:9" s="1" customFormat="1" ht="20.25">
      <c r="A424" s="42"/>
      <c r="B424" s="41"/>
      <c r="G424" s="43"/>
      <c r="H424" s="43"/>
      <c r="I424" s="43"/>
    </row>
    <row r="425" spans="1:9" s="1" customFormat="1" ht="20.25">
      <c r="A425" s="43"/>
      <c r="B425" s="43"/>
      <c r="C425" s="43"/>
      <c r="D425" s="43"/>
      <c r="E425" s="43"/>
      <c r="F425" s="43"/>
      <c r="G425" s="43"/>
      <c r="H425" s="43"/>
      <c r="I425" s="43"/>
    </row>
    <row r="426" spans="1:9" s="1" customFormat="1" ht="20.25">
      <c r="A426" s="506"/>
      <c r="B426" s="563"/>
      <c r="C426" s="563"/>
      <c r="D426" s="147"/>
      <c r="E426" s="43"/>
      <c r="F426" s="43"/>
      <c r="G426" s="43"/>
      <c r="H426" s="43"/>
      <c r="I426" s="43"/>
    </row>
    <row r="427" spans="1:9" s="1" customFormat="1">
      <c r="A427" s="55"/>
      <c r="B427" s="55"/>
      <c r="C427" s="55"/>
      <c r="D427" s="55"/>
      <c r="E427" s="55"/>
      <c r="F427" s="55"/>
      <c r="G427" s="56"/>
      <c r="H427" s="56"/>
      <c r="I427" s="510"/>
    </row>
    <row r="428" spans="1:9" s="1" customFormat="1">
      <c r="A428" s="55"/>
      <c r="B428" s="55"/>
      <c r="C428" s="55"/>
      <c r="D428" s="55"/>
      <c r="E428" s="55"/>
      <c r="F428" s="55"/>
      <c r="G428" s="56"/>
      <c r="H428" s="56"/>
      <c r="I428" s="510"/>
    </row>
    <row r="429" spans="1:9" s="1" customFormat="1">
      <c r="A429"/>
      <c r="B429"/>
      <c r="C429"/>
      <c r="D429"/>
      <c r="E429"/>
      <c r="F429"/>
      <c r="G429"/>
      <c r="H429" s="40"/>
      <c r="I429"/>
    </row>
    <row r="430" spans="1:9" s="1" customFormat="1">
      <c r="A430"/>
      <c r="B430"/>
      <c r="C430"/>
      <c r="D430"/>
      <c r="E430"/>
      <c r="F430"/>
      <c r="G430" s="47"/>
      <c r="H430" s="57"/>
      <c r="I430" s="40"/>
    </row>
    <row r="431" spans="1:9" s="1" customFormat="1">
      <c r="A431"/>
      <c r="B431"/>
      <c r="C431"/>
      <c r="D431"/>
      <c r="E431"/>
      <c r="F431"/>
      <c r="G431" s="48"/>
      <c r="H431" s="57"/>
      <c r="I431" s="40"/>
    </row>
    <row r="432" spans="1:9" s="1" customFormat="1">
      <c r="A432"/>
      <c r="B432"/>
      <c r="C432"/>
      <c r="D432"/>
      <c r="E432"/>
      <c r="F432"/>
      <c r="G432" s="49"/>
      <c r="H432" s="57"/>
      <c r="I432" s="40"/>
    </row>
    <row r="433" spans="1:9" s="1" customFormat="1">
      <c r="A433"/>
      <c r="B433"/>
      <c r="C433"/>
      <c r="D433"/>
      <c r="E433"/>
      <c r="F433"/>
      <c r="G433" s="49"/>
      <c r="H433" s="57"/>
      <c r="I433" s="40"/>
    </row>
    <row r="434" spans="1:9" s="1" customFormat="1">
      <c r="A434"/>
      <c r="B434"/>
      <c r="C434"/>
      <c r="D434"/>
      <c r="E434"/>
      <c r="F434"/>
      <c r="G434" s="49"/>
      <c r="H434" s="57"/>
      <c r="I434" s="40"/>
    </row>
    <row r="435" spans="1:9" s="1" customFormat="1">
      <c r="A435"/>
      <c r="B435"/>
      <c r="C435"/>
      <c r="D435"/>
      <c r="E435"/>
      <c r="F435"/>
      <c r="G435" s="49"/>
      <c r="H435" s="57"/>
      <c r="I435" s="40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 s="55"/>
      <c r="B437" s="55"/>
      <c r="C437" s="55"/>
      <c r="D437" s="55"/>
      <c r="E437" s="55"/>
      <c r="F437" s="55"/>
      <c r="G437" s="509"/>
      <c r="H437" s="58"/>
      <c r="I437" s="58"/>
    </row>
    <row r="438" spans="1:9" s="1" customFormat="1">
      <c r="A438" s="55"/>
      <c r="B438" s="55"/>
      <c r="C438" s="55"/>
      <c r="D438" s="55"/>
      <c r="E438" s="55"/>
      <c r="F438" s="55"/>
      <c r="G438" s="509"/>
      <c r="H438" s="58"/>
      <c r="I438" s="58"/>
    </row>
    <row r="439" spans="1:9" s="1" customFormat="1">
      <c r="A439" s="50"/>
      <c r="B439"/>
      <c r="C439" s="51"/>
      <c r="D439" s="51"/>
      <c r="E439" s="51"/>
      <c r="F439"/>
      <c r="G439" s="51"/>
      <c r="H439" s="59"/>
      <c r="I439" s="40"/>
    </row>
    <row r="440" spans="1:9" s="1" customFormat="1">
      <c r="A440"/>
      <c r="B440"/>
      <c r="C440"/>
      <c r="D440"/>
      <c r="E440"/>
      <c r="F440"/>
      <c r="G440" s="40"/>
      <c r="H440" s="40"/>
      <c r="I440" s="57"/>
    </row>
    <row r="441" spans="1:9" s="1" customFormat="1">
      <c r="A441"/>
      <c r="B441"/>
      <c r="C441"/>
      <c r="D441"/>
      <c r="E441"/>
      <c r="F441"/>
      <c r="G441" s="57"/>
      <c r="H441" s="40"/>
      <c r="I441" s="40"/>
    </row>
    <row r="442" spans="1:9" s="1" customFormat="1">
      <c r="A442"/>
      <c r="B442"/>
      <c r="C442"/>
      <c r="D442"/>
      <c r="E442"/>
      <c r="F442"/>
      <c r="G442" s="38"/>
      <c r="H442" s="40"/>
      <c r="I442" s="40"/>
    </row>
    <row r="443" spans="1:9" s="1" customFormat="1">
      <c r="A443"/>
      <c r="B443"/>
      <c r="C443"/>
      <c r="D443"/>
      <c r="E443"/>
      <c r="F443"/>
      <c r="G443" s="60"/>
      <c r="H443" s="40"/>
      <c r="I443" s="40"/>
    </row>
    <row r="444" spans="1:9" s="1" customFormat="1">
      <c r="A444"/>
      <c r="B444"/>
      <c r="C444"/>
      <c r="D444"/>
      <c r="E444"/>
      <c r="F444" s="40"/>
      <c r="G444"/>
      <c r="H444"/>
      <c r="I444"/>
    </row>
    <row r="445" spans="1:9" s="1" customFormat="1">
      <c r="A445" s="52"/>
      <c r="B445"/>
      <c r="C445"/>
      <c r="D445"/>
      <c r="E445"/>
      <c r="F445" s="40"/>
      <c r="G445"/>
      <c r="H445"/>
      <c r="I445"/>
    </row>
    <row r="446" spans="1:9" s="1" customFormat="1">
      <c r="A446"/>
      <c r="B446" s="61"/>
      <c r="C446"/>
      <c r="D446"/>
      <c r="E446"/>
      <c r="F446"/>
      <c r="G446"/>
      <c r="H446"/>
      <c r="I446"/>
    </row>
    <row r="447" spans="1:9" s="1" customFormat="1">
      <c r="A447" s="507"/>
      <c r="B447" s="62"/>
      <c r="C447" s="62"/>
      <c r="D447" s="62"/>
      <c r="E447" s="507"/>
      <c r="F447" s="507"/>
      <c r="G447" s="507"/>
      <c r="H447" s="507"/>
      <c r="I447" s="507"/>
    </row>
    <row r="448" spans="1:9" s="1" customFormat="1">
      <c r="A448" s="507"/>
      <c r="B448" s="62"/>
      <c r="C448" s="62"/>
      <c r="D448" s="62"/>
      <c r="E448" s="62"/>
      <c r="F448" s="62"/>
      <c r="G448" s="508"/>
      <c r="H448" s="508"/>
      <c r="I448" s="508"/>
    </row>
    <row r="449" spans="1:9" s="1" customFormat="1">
      <c r="A449" s="53"/>
      <c r="B449" s="63"/>
      <c r="C449" s="40"/>
      <c r="D449" s="40"/>
      <c r="E449" s="40"/>
      <c r="F449" s="54"/>
      <c r="G449" s="40"/>
      <c r="H449" s="40"/>
      <c r="I449" s="45"/>
    </row>
    <row r="450" spans="1:9" s="1" customFormat="1">
      <c r="A450" s="53"/>
      <c r="B450" s="63"/>
      <c r="C450" s="40"/>
      <c r="D450" s="40"/>
      <c r="E450" s="40"/>
      <c r="F450" s="54"/>
      <c r="G450" s="40"/>
      <c r="H450" s="44"/>
      <c r="I450" s="45"/>
    </row>
    <row r="451" spans="1:9" s="1" customFormat="1">
      <c r="A451" s="53"/>
      <c r="B451" s="63"/>
      <c r="C451" s="40"/>
      <c r="D451" s="40"/>
      <c r="E451" s="40"/>
      <c r="F451" s="54"/>
      <c r="G451" s="40"/>
      <c r="H451" s="44"/>
      <c r="I451"/>
    </row>
    <row r="452" spans="1:9" s="1" customFormat="1">
      <c r="A452" s="53"/>
      <c r="B452" s="63"/>
      <c r="C452" s="40"/>
      <c r="D452" s="40"/>
      <c r="E452" s="40"/>
      <c r="F452" s="54"/>
      <c r="G452" s="40"/>
      <c r="H452" s="44"/>
      <c r="I452" s="45"/>
    </row>
    <row r="453" spans="1:9" s="1" customFormat="1">
      <c r="A453" s="53"/>
      <c r="B453" s="64"/>
      <c r="C453" s="40"/>
      <c r="D453" s="40"/>
      <c r="E453" s="40"/>
      <c r="F453" s="54"/>
      <c r="G453" s="40"/>
      <c r="H453" s="44"/>
      <c r="I453" s="45"/>
    </row>
    <row r="454" spans="1:9" s="1" customFormat="1">
      <c r="A454" s="53"/>
      <c r="B454" s="64"/>
      <c r="C454" s="40"/>
      <c r="D454" s="40"/>
      <c r="E454" s="40"/>
      <c r="F454" s="54"/>
      <c r="G454" s="40"/>
      <c r="H454" s="44"/>
      <c r="I454" s="45"/>
    </row>
    <row r="455" spans="1:9" s="1" customFormat="1">
      <c r="A455" s="53"/>
      <c r="B455" s="64"/>
      <c r="C455" s="40"/>
      <c r="D455" s="40"/>
      <c r="E455" s="40"/>
      <c r="F455" s="54"/>
      <c r="G455" s="40"/>
      <c r="H455" s="44"/>
      <c r="I455" s="45"/>
    </row>
    <row r="456" spans="1:9" s="1" customFormat="1">
      <c r="A456" s="53"/>
      <c r="B456" s="64"/>
      <c r="C456" s="40"/>
      <c r="D456" s="40"/>
      <c r="E456" s="40"/>
      <c r="F456" s="54"/>
      <c r="G456" s="40"/>
      <c r="H456" s="44"/>
      <c r="I456" s="45"/>
    </row>
    <row r="457" spans="1:9" s="1" customFormat="1">
      <c r="A457" s="53"/>
      <c r="B457" s="64"/>
      <c r="C457" s="40"/>
      <c r="D457" s="40"/>
      <c r="E457" s="40"/>
      <c r="F457" s="54"/>
      <c r="G457" s="40"/>
      <c r="H457" s="44"/>
      <c r="I457" s="45"/>
    </row>
    <row r="458" spans="1:9" s="1" customFormat="1">
      <c r="A458" s="53"/>
      <c r="B458" s="64"/>
      <c r="C458" s="40"/>
      <c r="D458" s="40"/>
      <c r="E458" s="40"/>
      <c r="F458" s="54"/>
      <c r="G458" s="40"/>
      <c r="H458" s="44"/>
      <c r="I458" s="45"/>
    </row>
    <row r="459" spans="1:9" s="1" customFormat="1">
      <c r="A459" s="53"/>
      <c r="B459" s="64"/>
      <c r="C459" s="40"/>
      <c r="D459" s="40"/>
      <c r="E459" s="40"/>
      <c r="F459" s="54"/>
      <c r="G459" s="40"/>
      <c r="H459" s="44"/>
      <c r="I459" s="45"/>
    </row>
    <row r="460" spans="1:9" s="1" customFormat="1">
      <c r="A460" s="53"/>
      <c r="B460" s="64"/>
      <c r="C460" s="40"/>
      <c r="D460" s="40"/>
      <c r="E460" s="40"/>
      <c r="F460" s="54"/>
      <c r="G460" s="40"/>
      <c r="H460" s="44"/>
      <c r="I460" s="45"/>
    </row>
    <row r="461" spans="1:9" s="1" customFormat="1">
      <c r="A461" s="53"/>
      <c r="B461" s="64"/>
      <c r="C461" s="40"/>
      <c r="D461" s="40"/>
      <c r="E461" s="40"/>
      <c r="F461" s="54"/>
      <c r="G461" s="40"/>
      <c r="H461" s="44"/>
      <c r="I461" s="45"/>
    </row>
    <row r="462" spans="1:9" s="1" customFormat="1">
      <c r="A462" s="53"/>
      <c r="B462" s="64"/>
      <c r="C462" s="40"/>
      <c r="D462" s="40"/>
      <c r="E462" s="40"/>
      <c r="F462" s="54"/>
      <c r="G462" s="40"/>
      <c r="H462" s="44"/>
      <c r="I462" s="45"/>
    </row>
    <row r="463" spans="1:9" s="1" customFormat="1">
      <c r="A463" s="53"/>
      <c r="B463" s="64"/>
      <c r="C463" s="40"/>
      <c r="D463" s="40"/>
      <c r="E463" s="40"/>
      <c r="F463" s="54"/>
      <c r="G463" s="40"/>
      <c r="H463" s="44"/>
      <c r="I463" s="45"/>
    </row>
    <row r="464" spans="1:9" s="1" customFormat="1">
      <c r="A464" s="53"/>
      <c r="B464" s="64"/>
      <c r="C464" s="40"/>
      <c r="D464" s="40"/>
      <c r="E464" s="40"/>
      <c r="F464" s="54"/>
      <c r="G464" s="40"/>
      <c r="H464" s="44"/>
      <c r="I464" s="45"/>
    </row>
    <row r="465" spans="1:9" s="1" customFormat="1">
      <c r="A465" s="53"/>
      <c r="B465" s="64"/>
      <c r="C465" s="40"/>
      <c r="D465" s="40"/>
      <c r="E465" s="40"/>
      <c r="F465" s="54"/>
      <c r="G465" s="40"/>
      <c r="H465" s="44"/>
      <c r="I465" s="45"/>
    </row>
    <row r="466" spans="1:9" s="1" customFormat="1">
      <c r="A466" s="53"/>
      <c r="B466" s="64"/>
      <c r="C466" s="40"/>
      <c r="D466" s="40"/>
      <c r="E466" s="40"/>
      <c r="F466" s="54"/>
      <c r="G466" s="40"/>
      <c r="H466" s="44"/>
      <c r="I466" s="45"/>
    </row>
    <row r="467" spans="1:9" s="1" customFormat="1">
      <c r="A467" s="53"/>
      <c r="B467" s="64"/>
      <c r="C467" s="40"/>
      <c r="D467" s="40"/>
      <c r="E467" s="40"/>
      <c r="F467" s="54"/>
      <c r="G467" s="40"/>
      <c r="H467" s="44"/>
      <c r="I467" s="45"/>
    </row>
    <row r="468" spans="1:9" s="1" customFormat="1">
      <c r="A468" s="53"/>
      <c r="B468" s="64"/>
      <c r="C468" s="40"/>
      <c r="D468" s="40"/>
      <c r="E468" s="40"/>
      <c r="F468" s="54"/>
      <c r="G468" s="40"/>
      <c r="H468" s="44"/>
      <c r="I468" s="45"/>
    </row>
    <row r="469" spans="1:9" s="1" customFormat="1">
      <c r="A469" s="53"/>
      <c r="B469" s="64"/>
      <c r="C469" s="40"/>
      <c r="D469" s="40"/>
      <c r="E469" s="40"/>
      <c r="F469" s="54"/>
      <c r="G469" s="40"/>
      <c r="H469" s="44"/>
      <c r="I469" s="45"/>
    </row>
    <row r="470" spans="1:9" s="1" customFormat="1">
      <c r="A470" s="53"/>
      <c r="B470" s="64"/>
      <c r="C470" s="40"/>
      <c r="D470" s="40"/>
      <c r="E470" s="40"/>
      <c r="F470" s="54"/>
      <c r="G470" s="40"/>
      <c r="H470" s="44"/>
      <c r="I470" s="45"/>
    </row>
    <row r="471" spans="1:9" s="1" customFormat="1">
      <c r="A471" s="53"/>
      <c r="B471" s="64"/>
      <c r="C471" s="40"/>
      <c r="D471" s="40"/>
      <c r="E471" s="40"/>
      <c r="F471" s="54"/>
      <c r="G471" s="40"/>
      <c r="H471" s="44"/>
      <c r="I471" s="45"/>
    </row>
    <row r="472" spans="1:9" s="1" customFormat="1">
      <c r="A472" s="53"/>
      <c r="B472" s="64"/>
      <c r="C472" s="40"/>
      <c r="D472" s="40"/>
      <c r="E472" s="40"/>
      <c r="F472" s="54"/>
      <c r="G472" s="40"/>
      <c r="H472" s="44"/>
      <c r="I472" s="45"/>
    </row>
    <row r="473" spans="1:9" s="1" customFormat="1">
      <c r="A473" s="53"/>
      <c r="B473" s="64"/>
      <c r="C473" s="40"/>
      <c r="D473" s="40"/>
      <c r="E473" s="40"/>
      <c r="F473" s="54"/>
      <c r="G473" s="40"/>
      <c r="H473" s="44"/>
      <c r="I473" s="45"/>
    </row>
    <row r="474" spans="1:9" s="1" customFormat="1">
      <c r="A474" s="69"/>
      <c r="B474" s="46"/>
      <c r="C474" s="46"/>
      <c r="D474" s="46"/>
      <c r="E474" s="46"/>
      <c r="F474" s="46"/>
      <c r="G474" s="46"/>
      <c r="H474" s="46"/>
      <c r="I474" s="46"/>
    </row>
    <row r="475" spans="1:9" s="1" customFormat="1">
      <c r="A475"/>
      <c r="B475" s="40"/>
      <c r="C475" s="40"/>
      <c r="D475" s="40"/>
      <c r="E475" s="40"/>
      <c r="F475"/>
      <c r="G475"/>
      <c r="H475"/>
      <c r="I475"/>
    </row>
    <row r="476" spans="1:9" s="1" customFormat="1">
      <c r="A476"/>
      <c r="B476"/>
      <c r="C476" s="65"/>
      <c r="D476" s="65"/>
      <c r="E476" s="66"/>
      <c r="F476" s="67"/>
      <c r="G476" s="65"/>
      <c r="H476"/>
      <c r="I476" s="68"/>
    </row>
    <row r="477" spans="1:9" s="1" customFormat="1" ht="12"/>
    <row r="478" spans="1:9" s="1" customFormat="1" ht="20.25">
      <c r="A478" s="42"/>
      <c r="B478" s="41"/>
      <c r="G478" s="43"/>
      <c r="H478" s="43"/>
      <c r="I478" s="43"/>
    </row>
    <row r="479" spans="1:9" s="1" customFormat="1" ht="20.25">
      <c r="A479" s="43"/>
      <c r="B479" s="43"/>
      <c r="C479" s="43"/>
      <c r="D479" s="43"/>
      <c r="E479" s="43"/>
      <c r="F479" s="43"/>
      <c r="G479" s="43"/>
      <c r="H479" s="43"/>
      <c r="I479" s="43"/>
    </row>
    <row r="480" spans="1:9" s="1" customFormat="1" ht="20.25">
      <c r="A480" s="506"/>
      <c r="B480" s="563"/>
      <c r="C480" s="563"/>
      <c r="D480" s="147"/>
      <c r="E480" s="43"/>
      <c r="F480" s="43"/>
      <c r="G480" s="43"/>
      <c r="H480" s="43"/>
      <c r="I480" s="43"/>
    </row>
    <row r="481" spans="1:9" s="1" customFormat="1">
      <c r="A481" s="55"/>
      <c r="B481" s="55"/>
      <c r="C481" s="55"/>
      <c r="D481" s="55"/>
      <c r="E481" s="55"/>
      <c r="F481" s="55"/>
      <c r="G481" s="56"/>
      <c r="H481" s="56"/>
      <c r="I481" s="510"/>
    </row>
    <row r="482" spans="1:9" s="1" customFormat="1">
      <c r="A482" s="55"/>
      <c r="B482" s="55"/>
      <c r="C482" s="55"/>
      <c r="D482" s="55"/>
      <c r="E482" s="55"/>
      <c r="F482" s="55"/>
      <c r="G482" s="56"/>
      <c r="H482" s="56"/>
      <c r="I482" s="510"/>
    </row>
    <row r="483" spans="1:9" s="1" customFormat="1">
      <c r="A483"/>
      <c r="B483"/>
      <c r="C483"/>
      <c r="D483"/>
      <c r="E483"/>
      <c r="F483"/>
      <c r="G483"/>
      <c r="H483" s="40"/>
      <c r="I483"/>
    </row>
    <row r="484" spans="1:9" s="1" customFormat="1">
      <c r="A484"/>
      <c r="B484"/>
      <c r="C484"/>
      <c r="D484"/>
      <c r="E484"/>
      <c r="F484"/>
      <c r="G484" s="47"/>
      <c r="H484" s="57"/>
      <c r="I484" s="40"/>
    </row>
    <row r="485" spans="1:9" s="1" customFormat="1">
      <c r="A485"/>
      <c r="B485"/>
      <c r="C485"/>
      <c r="D485"/>
      <c r="E485"/>
      <c r="F485"/>
      <c r="G485" s="48"/>
      <c r="H485" s="57"/>
      <c r="I485" s="40"/>
    </row>
    <row r="486" spans="1:9" s="1" customFormat="1">
      <c r="A486"/>
      <c r="B486"/>
      <c r="C486"/>
      <c r="D486"/>
      <c r="E486"/>
      <c r="F486"/>
      <c r="G486" s="49"/>
      <c r="H486" s="57"/>
      <c r="I486" s="40"/>
    </row>
    <row r="487" spans="1:9" s="1" customFormat="1">
      <c r="A487"/>
      <c r="B487"/>
      <c r="C487"/>
      <c r="D487"/>
      <c r="E487"/>
      <c r="F487"/>
      <c r="G487" s="49"/>
      <c r="H487" s="57"/>
      <c r="I487" s="40"/>
    </row>
    <row r="488" spans="1:9" s="1" customFormat="1">
      <c r="A488"/>
      <c r="B488"/>
      <c r="C488"/>
      <c r="D488"/>
      <c r="E488"/>
      <c r="F488"/>
      <c r="G488" s="49"/>
      <c r="H488" s="57"/>
      <c r="I488" s="40"/>
    </row>
    <row r="489" spans="1:9" s="1" customFormat="1">
      <c r="A489"/>
      <c r="B489"/>
      <c r="C489"/>
      <c r="D489"/>
      <c r="E489"/>
      <c r="F489"/>
      <c r="G489" s="49"/>
      <c r="H489" s="57"/>
      <c r="I489" s="40"/>
    </row>
    <row r="490" spans="1:9" s="1" customFormat="1">
      <c r="A490"/>
      <c r="B490"/>
      <c r="C490"/>
      <c r="D490"/>
      <c r="E490"/>
      <c r="F490"/>
      <c r="G490"/>
      <c r="H490"/>
      <c r="I490"/>
    </row>
    <row r="491" spans="1:9" s="1" customFormat="1">
      <c r="A491" s="55"/>
      <c r="B491" s="55"/>
      <c r="C491" s="55"/>
      <c r="D491" s="55"/>
      <c r="E491" s="55"/>
      <c r="F491" s="55"/>
      <c r="G491" s="509"/>
      <c r="H491" s="58"/>
      <c r="I491" s="58"/>
    </row>
    <row r="492" spans="1:9" s="1" customFormat="1">
      <c r="A492" s="55"/>
      <c r="B492" s="55"/>
      <c r="C492" s="55"/>
      <c r="D492" s="55"/>
      <c r="E492" s="55"/>
      <c r="F492" s="55"/>
      <c r="G492" s="509"/>
      <c r="H492" s="58"/>
      <c r="I492" s="58"/>
    </row>
    <row r="493" spans="1:9" s="1" customFormat="1">
      <c r="A493" s="50"/>
      <c r="B493"/>
      <c r="C493" s="51"/>
      <c r="D493" s="51"/>
      <c r="E493" s="51"/>
      <c r="F493"/>
      <c r="G493" s="51"/>
      <c r="H493" s="59"/>
      <c r="I493" s="40"/>
    </row>
    <row r="494" spans="1:9" s="1" customFormat="1">
      <c r="A494"/>
      <c r="B494"/>
      <c r="C494"/>
      <c r="D494"/>
      <c r="E494"/>
      <c r="F494"/>
      <c r="G494" s="40"/>
      <c r="H494" s="40"/>
      <c r="I494" s="57"/>
    </row>
    <row r="495" spans="1:9" s="1" customFormat="1">
      <c r="A495"/>
      <c r="B495"/>
      <c r="C495"/>
      <c r="D495"/>
      <c r="E495"/>
      <c r="F495"/>
      <c r="G495" s="57"/>
      <c r="H495" s="40"/>
      <c r="I495" s="40"/>
    </row>
    <row r="496" spans="1:9" s="1" customFormat="1">
      <c r="A496"/>
      <c r="B496"/>
      <c r="C496"/>
      <c r="D496"/>
      <c r="E496"/>
      <c r="F496"/>
      <c r="G496" s="38"/>
      <c r="H496" s="40"/>
      <c r="I496" s="40"/>
    </row>
    <row r="497" spans="1:9" s="1" customFormat="1">
      <c r="A497"/>
      <c r="B497"/>
      <c r="C497"/>
      <c r="D497"/>
      <c r="E497"/>
      <c r="F497"/>
      <c r="G497" s="60"/>
      <c r="H497" s="40"/>
      <c r="I497" s="40"/>
    </row>
    <row r="498" spans="1:9" s="1" customFormat="1">
      <c r="A498"/>
      <c r="B498"/>
      <c r="C498"/>
      <c r="D498"/>
      <c r="E498"/>
      <c r="F498" s="40"/>
      <c r="G498"/>
      <c r="H498"/>
      <c r="I498"/>
    </row>
    <row r="499" spans="1:9" s="1" customFormat="1">
      <c r="A499" s="52"/>
      <c r="B499"/>
      <c r="C499"/>
      <c r="D499"/>
      <c r="E499"/>
      <c r="F499" s="40"/>
      <c r="G499"/>
      <c r="H499"/>
      <c r="I499"/>
    </row>
    <row r="500" spans="1:9" s="1" customFormat="1">
      <c r="A500"/>
      <c r="B500" s="61"/>
      <c r="C500"/>
      <c r="D500"/>
      <c r="E500"/>
      <c r="F500"/>
      <c r="G500"/>
      <c r="H500"/>
      <c r="I500"/>
    </row>
    <row r="501" spans="1:9" s="1" customFormat="1">
      <c r="A501" s="507"/>
      <c r="B501" s="62"/>
      <c r="C501" s="62"/>
      <c r="D501" s="62"/>
      <c r="E501" s="507"/>
      <c r="F501" s="507"/>
      <c r="G501" s="507"/>
      <c r="H501" s="507"/>
      <c r="I501" s="507"/>
    </row>
    <row r="502" spans="1:9" s="1" customFormat="1">
      <c r="A502" s="507"/>
      <c r="B502" s="62"/>
      <c r="C502" s="62"/>
      <c r="D502" s="62"/>
      <c r="E502" s="62"/>
      <c r="F502" s="62"/>
      <c r="G502" s="508"/>
      <c r="H502" s="508"/>
      <c r="I502" s="508"/>
    </row>
    <row r="503" spans="1:9" s="1" customFormat="1">
      <c r="A503" s="53"/>
      <c r="B503" s="63"/>
      <c r="C503" s="40"/>
      <c r="D503" s="40"/>
      <c r="E503" s="40"/>
      <c r="F503" s="54"/>
      <c r="G503" s="40"/>
      <c r="H503" s="40"/>
      <c r="I503" s="45"/>
    </row>
    <row r="504" spans="1:9" s="1" customFormat="1">
      <c r="A504" s="53"/>
      <c r="B504" s="63"/>
      <c r="C504" s="40"/>
      <c r="D504" s="40"/>
      <c r="E504" s="40"/>
      <c r="F504" s="54"/>
      <c r="G504" s="40"/>
      <c r="H504" s="44"/>
      <c r="I504" s="45"/>
    </row>
    <row r="505" spans="1:9" s="1" customFormat="1">
      <c r="A505" s="53"/>
      <c r="B505" s="63"/>
      <c r="C505" s="40"/>
      <c r="D505" s="40"/>
      <c r="E505" s="40"/>
      <c r="F505" s="54"/>
      <c r="G505" s="40"/>
      <c r="H505" s="44"/>
      <c r="I505"/>
    </row>
    <row r="506" spans="1:9" s="1" customFormat="1">
      <c r="A506" s="53"/>
      <c r="B506" s="63"/>
      <c r="C506" s="40"/>
      <c r="D506" s="40"/>
      <c r="E506" s="40"/>
      <c r="F506" s="54"/>
      <c r="G506" s="40"/>
      <c r="H506" s="44"/>
      <c r="I506" s="45"/>
    </row>
    <row r="507" spans="1:9" s="1" customFormat="1">
      <c r="A507" s="53"/>
      <c r="B507" s="64"/>
      <c r="C507" s="40"/>
      <c r="D507" s="40"/>
      <c r="E507" s="40"/>
      <c r="F507" s="54"/>
      <c r="G507" s="40"/>
      <c r="H507" s="44"/>
      <c r="I507" s="45"/>
    </row>
    <row r="508" spans="1:9" s="1" customFormat="1">
      <c r="A508" s="53"/>
      <c r="B508" s="64"/>
      <c r="C508" s="40"/>
      <c r="D508" s="40"/>
      <c r="E508" s="40"/>
      <c r="F508" s="54"/>
      <c r="G508" s="40"/>
      <c r="H508" s="44"/>
      <c r="I508" s="45"/>
    </row>
    <row r="509" spans="1:9" s="1" customFormat="1">
      <c r="A509" s="53"/>
      <c r="B509" s="64"/>
      <c r="C509" s="40"/>
      <c r="D509" s="40"/>
      <c r="E509" s="40"/>
      <c r="F509" s="54"/>
      <c r="G509" s="40"/>
      <c r="H509" s="44"/>
      <c r="I509" s="45"/>
    </row>
    <row r="510" spans="1:9" s="1" customFormat="1">
      <c r="A510" s="53"/>
      <c r="B510" s="64"/>
      <c r="C510" s="40"/>
      <c r="D510" s="40"/>
      <c r="E510" s="40"/>
      <c r="F510" s="54"/>
      <c r="G510" s="40"/>
      <c r="H510" s="44"/>
      <c r="I510" s="45"/>
    </row>
    <row r="511" spans="1:9" s="1" customFormat="1">
      <c r="A511" s="53"/>
      <c r="B511" s="64"/>
      <c r="C511" s="40"/>
      <c r="D511" s="40"/>
      <c r="E511" s="40"/>
      <c r="F511" s="54"/>
      <c r="G511" s="40"/>
      <c r="H511" s="44"/>
      <c r="I511" s="45"/>
    </row>
    <row r="512" spans="1:9" s="1" customFormat="1">
      <c r="A512" s="53"/>
      <c r="B512" s="64"/>
      <c r="C512" s="40"/>
      <c r="D512" s="40"/>
      <c r="E512" s="40"/>
      <c r="F512" s="54"/>
      <c r="G512" s="40"/>
      <c r="H512" s="44"/>
      <c r="I512" s="45"/>
    </row>
    <row r="513" spans="1:9" s="1" customFormat="1">
      <c r="A513" s="53"/>
      <c r="B513" s="64"/>
      <c r="C513" s="40"/>
      <c r="D513" s="40"/>
      <c r="E513" s="40"/>
      <c r="F513" s="54"/>
      <c r="G513" s="40"/>
      <c r="H513" s="44"/>
      <c r="I513" s="45"/>
    </row>
    <row r="514" spans="1:9" s="1" customFormat="1">
      <c r="A514" s="53"/>
      <c r="B514" s="64"/>
      <c r="C514" s="40"/>
      <c r="D514" s="40"/>
      <c r="E514" s="40"/>
      <c r="F514" s="54"/>
      <c r="G514" s="40"/>
      <c r="H514" s="44"/>
      <c r="I514" s="45"/>
    </row>
    <row r="515" spans="1:9" s="1" customFormat="1">
      <c r="A515" s="53"/>
      <c r="B515" s="64"/>
      <c r="C515" s="40"/>
      <c r="D515" s="40"/>
      <c r="E515" s="40"/>
      <c r="F515" s="54"/>
      <c r="G515" s="40"/>
      <c r="H515" s="44"/>
      <c r="I515" s="45"/>
    </row>
    <row r="516" spans="1:9" s="1" customFormat="1">
      <c r="A516" s="53"/>
      <c r="B516" s="64"/>
      <c r="C516" s="40"/>
      <c r="D516" s="40"/>
      <c r="E516" s="40"/>
      <c r="F516" s="54"/>
      <c r="G516" s="40"/>
      <c r="H516" s="44"/>
      <c r="I516" s="45"/>
    </row>
    <row r="517" spans="1:9" s="1" customFormat="1">
      <c r="A517" s="53"/>
      <c r="B517" s="64"/>
      <c r="C517" s="40"/>
      <c r="D517" s="40"/>
      <c r="E517" s="40"/>
      <c r="F517" s="54"/>
      <c r="G517" s="40"/>
      <c r="H517" s="44"/>
      <c r="I517" s="45"/>
    </row>
    <row r="518" spans="1:9" s="1" customFormat="1">
      <c r="A518" s="53"/>
      <c r="B518" s="64"/>
      <c r="C518" s="40"/>
      <c r="D518" s="40"/>
      <c r="E518" s="40"/>
      <c r="F518" s="54"/>
      <c r="G518" s="40"/>
      <c r="H518" s="44"/>
      <c r="I518" s="45"/>
    </row>
    <row r="519" spans="1:9" s="1" customFormat="1">
      <c r="A519" s="53"/>
      <c r="B519" s="64"/>
      <c r="C519" s="40"/>
      <c r="D519" s="40"/>
      <c r="E519" s="40"/>
      <c r="F519" s="54"/>
      <c r="G519" s="40"/>
      <c r="H519" s="44"/>
      <c r="I519" s="45"/>
    </row>
    <row r="520" spans="1:9" s="1" customFormat="1">
      <c r="A520" s="53"/>
      <c r="B520" s="64"/>
      <c r="C520" s="40"/>
      <c r="D520" s="40"/>
      <c r="E520" s="40"/>
      <c r="F520" s="54"/>
      <c r="G520" s="40"/>
      <c r="H520" s="44"/>
      <c r="I520" s="45"/>
    </row>
    <row r="521" spans="1:9" s="1" customFormat="1">
      <c r="A521" s="53"/>
      <c r="B521" s="64"/>
      <c r="C521" s="40"/>
      <c r="D521" s="40"/>
      <c r="E521" s="40"/>
      <c r="F521" s="54"/>
      <c r="G521" s="40"/>
      <c r="H521" s="44"/>
      <c r="I521" s="45"/>
    </row>
    <row r="522" spans="1:9" s="1" customFormat="1">
      <c r="A522" s="53"/>
      <c r="B522" s="64"/>
      <c r="C522" s="40"/>
      <c r="D522" s="40"/>
      <c r="E522" s="40"/>
      <c r="F522" s="54"/>
      <c r="G522" s="40"/>
      <c r="H522" s="44"/>
      <c r="I522" s="45"/>
    </row>
    <row r="523" spans="1:9" s="1" customFormat="1">
      <c r="A523" s="53"/>
      <c r="B523" s="64"/>
      <c r="C523" s="40"/>
      <c r="D523" s="40"/>
      <c r="E523" s="40"/>
      <c r="F523" s="54"/>
      <c r="G523" s="40"/>
      <c r="H523" s="44"/>
      <c r="I523" s="45"/>
    </row>
    <row r="524" spans="1:9" s="1" customFormat="1">
      <c r="A524" s="53"/>
      <c r="B524" s="64"/>
      <c r="C524" s="40"/>
      <c r="D524" s="40"/>
      <c r="E524" s="40"/>
      <c r="F524" s="54"/>
      <c r="G524" s="40"/>
      <c r="H524" s="44"/>
      <c r="I524" s="45"/>
    </row>
    <row r="525" spans="1:9" s="1" customFormat="1">
      <c r="A525" s="53"/>
      <c r="B525" s="64"/>
      <c r="C525" s="40"/>
      <c r="D525" s="40"/>
      <c r="E525" s="40"/>
      <c r="F525" s="54"/>
      <c r="G525" s="40"/>
      <c r="H525" s="44"/>
      <c r="I525" s="45"/>
    </row>
    <row r="526" spans="1:9" s="1" customFormat="1">
      <c r="A526" s="53"/>
      <c r="B526" s="64"/>
      <c r="C526" s="40"/>
      <c r="D526" s="40"/>
      <c r="E526" s="40"/>
      <c r="F526" s="54"/>
      <c r="G526" s="40"/>
      <c r="H526" s="44"/>
      <c r="I526" s="45"/>
    </row>
    <row r="527" spans="1:9" s="1" customFormat="1">
      <c r="A527" s="53"/>
      <c r="B527" s="64"/>
      <c r="C527" s="40"/>
      <c r="D527" s="40"/>
      <c r="E527" s="40"/>
      <c r="F527" s="54"/>
      <c r="G527" s="40"/>
      <c r="H527" s="44"/>
      <c r="I527" s="45"/>
    </row>
    <row r="528" spans="1:9" s="1" customFormat="1">
      <c r="A528" s="69"/>
      <c r="B528" s="46"/>
      <c r="C528" s="46"/>
      <c r="D528" s="46"/>
      <c r="E528" s="46"/>
      <c r="F528" s="46"/>
      <c r="G528" s="46"/>
      <c r="H528" s="46"/>
      <c r="I528" s="46"/>
    </row>
    <row r="529" spans="1:9" s="1" customFormat="1">
      <c r="A529"/>
      <c r="B529" s="40"/>
      <c r="C529" s="40"/>
      <c r="D529" s="40"/>
      <c r="E529" s="40"/>
      <c r="F529"/>
      <c r="G529"/>
      <c r="H529"/>
      <c r="I529"/>
    </row>
    <row r="530" spans="1:9" s="1" customFormat="1">
      <c r="A530"/>
      <c r="B530"/>
      <c r="C530" s="65"/>
      <c r="D530" s="65"/>
      <c r="E530" s="66"/>
      <c r="F530" s="67"/>
      <c r="G530" s="65"/>
      <c r="H530"/>
      <c r="I530" s="68"/>
    </row>
    <row r="531" spans="1:9" s="1" customFormat="1" ht="12"/>
    <row r="532" spans="1:9" s="1" customFormat="1" ht="20.25">
      <c r="A532" s="42"/>
      <c r="B532" s="41"/>
      <c r="G532" s="43"/>
      <c r="H532" s="43"/>
      <c r="I532" s="43"/>
    </row>
    <row r="533" spans="1:9" s="1" customFormat="1" ht="20.25">
      <c r="A533" s="43"/>
      <c r="B533" s="43"/>
      <c r="C533" s="43"/>
      <c r="D533" s="43"/>
      <c r="E533" s="43"/>
      <c r="F533" s="43"/>
      <c r="G533" s="43"/>
      <c r="H533" s="43"/>
      <c r="I533" s="43"/>
    </row>
    <row r="534" spans="1:9" s="1" customFormat="1" ht="29.25" customHeight="1">
      <c r="A534" s="506"/>
      <c r="B534" s="563"/>
      <c r="C534" s="563"/>
      <c r="D534" s="147"/>
      <c r="E534" s="43"/>
      <c r="F534" s="43"/>
      <c r="G534" s="43"/>
      <c r="H534" s="43"/>
      <c r="I534" s="43"/>
    </row>
    <row r="535" spans="1:9" s="1" customFormat="1">
      <c r="A535" s="55"/>
      <c r="B535" s="55"/>
      <c r="C535" s="55"/>
      <c r="D535" s="55"/>
      <c r="E535" s="55"/>
      <c r="F535" s="55"/>
      <c r="G535" s="56"/>
      <c r="H535" s="56"/>
      <c r="I535" s="510"/>
    </row>
    <row r="536" spans="1:9" s="1" customFormat="1">
      <c r="A536" s="55"/>
      <c r="B536" s="55"/>
      <c r="C536" s="55"/>
      <c r="D536" s="55"/>
      <c r="E536" s="55"/>
      <c r="F536" s="55"/>
      <c r="G536" s="56"/>
      <c r="H536" s="56"/>
      <c r="I536" s="510"/>
    </row>
    <row r="537" spans="1:9" s="1" customFormat="1">
      <c r="A537"/>
      <c r="B537"/>
      <c r="C537"/>
      <c r="D537"/>
      <c r="E537"/>
      <c r="F537"/>
      <c r="G537"/>
      <c r="H537" s="40"/>
      <c r="I537"/>
    </row>
    <row r="538" spans="1:9" s="1" customFormat="1">
      <c r="A538"/>
      <c r="B538"/>
      <c r="C538"/>
      <c r="D538"/>
      <c r="E538"/>
      <c r="F538"/>
      <c r="G538" s="48"/>
      <c r="H538" s="57"/>
      <c r="I538" s="40"/>
    </row>
    <row r="539" spans="1:9" s="1" customFormat="1">
      <c r="A539"/>
      <c r="B539"/>
      <c r="C539"/>
      <c r="D539"/>
      <c r="E539"/>
      <c r="F539"/>
      <c r="G539" s="48"/>
      <c r="H539" s="57"/>
      <c r="I539" s="40"/>
    </row>
    <row r="540" spans="1:9" s="1" customFormat="1">
      <c r="A540"/>
      <c r="B540"/>
      <c r="C540"/>
      <c r="D540"/>
      <c r="E540"/>
      <c r="F540"/>
      <c r="G540" s="49"/>
      <c r="H540" s="57"/>
      <c r="I540" s="40"/>
    </row>
    <row r="541" spans="1:9" s="1" customFormat="1">
      <c r="A541"/>
      <c r="B541"/>
      <c r="C541"/>
      <c r="D541"/>
      <c r="E541"/>
      <c r="F541"/>
      <c r="G541" s="49"/>
      <c r="H541" s="57"/>
      <c r="I541" s="40"/>
    </row>
    <row r="542" spans="1:9" s="1" customFormat="1">
      <c r="A542"/>
      <c r="B542"/>
      <c r="C542"/>
      <c r="D542"/>
      <c r="E542"/>
      <c r="F542"/>
      <c r="G542" s="49"/>
      <c r="H542" s="57"/>
      <c r="I542" s="40"/>
    </row>
    <row r="543" spans="1:9" s="1" customFormat="1">
      <c r="A543"/>
      <c r="B543"/>
      <c r="C543"/>
      <c r="D543"/>
      <c r="E543"/>
      <c r="F543"/>
      <c r="G543" s="49"/>
      <c r="H543" s="57"/>
      <c r="I543" s="40"/>
    </row>
    <row r="544" spans="1:9" s="1" customFormat="1">
      <c r="A544"/>
      <c r="B544"/>
      <c r="C544"/>
      <c r="D544"/>
      <c r="E544"/>
      <c r="F544"/>
      <c r="G544"/>
      <c r="H544"/>
      <c r="I544"/>
    </row>
    <row r="545" spans="1:9" s="1" customFormat="1">
      <c r="A545" s="55"/>
      <c r="B545" s="55"/>
      <c r="C545" s="55"/>
      <c r="D545" s="55"/>
      <c r="E545" s="55"/>
      <c r="F545" s="55"/>
      <c r="G545" s="509"/>
      <c r="H545" s="58"/>
      <c r="I545" s="58"/>
    </row>
    <row r="546" spans="1:9" s="1" customFormat="1">
      <c r="A546" s="55"/>
      <c r="B546" s="55"/>
      <c r="C546" s="55"/>
      <c r="D546" s="55"/>
      <c r="E546" s="55"/>
      <c r="F546" s="55"/>
      <c r="G546" s="509"/>
      <c r="H546" s="58"/>
      <c r="I546" s="58"/>
    </row>
    <row r="547" spans="1:9" s="1" customFormat="1">
      <c r="A547" s="50"/>
      <c r="B547"/>
      <c r="C547" s="51"/>
      <c r="D547" s="51"/>
      <c r="E547" s="51"/>
      <c r="F547"/>
      <c r="G547" s="51"/>
      <c r="H547" s="59"/>
      <c r="I547" s="40"/>
    </row>
    <row r="548" spans="1:9" s="1" customFormat="1">
      <c r="A548"/>
      <c r="B548"/>
      <c r="C548"/>
      <c r="D548"/>
      <c r="E548"/>
      <c r="F548"/>
      <c r="G548" s="40"/>
      <c r="H548" s="40"/>
      <c r="I548" s="57"/>
    </row>
    <row r="549" spans="1:9" s="1" customFormat="1">
      <c r="A549"/>
      <c r="B549"/>
      <c r="C549"/>
      <c r="D549"/>
      <c r="E549"/>
      <c r="F549"/>
      <c r="G549" s="57"/>
      <c r="H549" s="40"/>
      <c r="I549" s="40"/>
    </row>
    <row r="550" spans="1:9" s="1" customFormat="1">
      <c r="A550"/>
      <c r="B550"/>
      <c r="C550"/>
      <c r="D550"/>
      <c r="E550"/>
      <c r="F550"/>
      <c r="G550" s="38"/>
      <c r="H550" s="40"/>
      <c r="I550" s="40"/>
    </row>
    <row r="551" spans="1:9" s="1" customFormat="1">
      <c r="A551"/>
      <c r="B551"/>
      <c r="C551"/>
      <c r="D551"/>
      <c r="E551"/>
      <c r="F551"/>
      <c r="G551" s="60"/>
      <c r="H551" s="40"/>
      <c r="I551" s="40"/>
    </row>
    <row r="552" spans="1:9" s="1" customFormat="1">
      <c r="A552"/>
      <c r="B552"/>
      <c r="C552"/>
      <c r="D552"/>
      <c r="E552"/>
      <c r="F552" s="40"/>
      <c r="G552"/>
      <c r="H552"/>
      <c r="I552"/>
    </row>
    <row r="553" spans="1:9" s="1" customFormat="1">
      <c r="A553" s="52"/>
      <c r="B553"/>
      <c r="C553"/>
      <c r="D553"/>
      <c r="E553"/>
      <c r="F553" s="40"/>
      <c r="G553"/>
      <c r="H553"/>
      <c r="I553"/>
    </row>
    <row r="554" spans="1:9" s="1" customFormat="1">
      <c r="A554"/>
      <c r="B554" s="61"/>
      <c r="C554"/>
      <c r="D554"/>
      <c r="E554"/>
      <c r="F554"/>
      <c r="G554"/>
      <c r="H554"/>
      <c r="I554"/>
    </row>
    <row r="555" spans="1:9" s="1" customFormat="1">
      <c r="A555" s="507"/>
      <c r="B555" s="62"/>
      <c r="C555" s="62"/>
      <c r="D555" s="62"/>
      <c r="E555" s="507"/>
      <c r="F555" s="507"/>
      <c r="G555" s="507"/>
      <c r="H555" s="507"/>
      <c r="I555" s="507"/>
    </row>
    <row r="556" spans="1:9" s="1" customFormat="1">
      <c r="A556" s="507"/>
      <c r="B556" s="62"/>
      <c r="C556" s="62"/>
      <c r="D556" s="62"/>
      <c r="E556" s="62"/>
      <c r="F556" s="62"/>
      <c r="G556" s="508"/>
      <c r="H556" s="508"/>
      <c r="I556" s="508"/>
    </row>
    <row r="557" spans="1:9" s="1" customFormat="1">
      <c r="A557" s="53"/>
      <c r="B557" s="63"/>
      <c r="C557" s="40"/>
      <c r="D557" s="40"/>
      <c r="E557" s="40"/>
      <c r="F557" s="54"/>
      <c r="G557" s="40"/>
      <c r="H557" s="40"/>
      <c r="I557" s="45"/>
    </row>
    <row r="558" spans="1:9" s="1" customFormat="1">
      <c r="A558" s="53"/>
      <c r="B558" s="63"/>
      <c r="C558" s="40"/>
      <c r="D558" s="40"/>
      <c r="E558" s="40"/>
      <c r="F558" s="54"/>
      <c r="G558" s="40"/>
      <c r="H558" s="44"/>
      <c r="I558" s="45"/>
    </row>
    <row r="559" spans="1:9" s="1" customFormat="1">
      <c r="A559" s="53"/>
      <c r="B559" s="63"/>
      <c r="C559" s="40"/>
      <c r="D559" s="40"/>
      <c r="E559" s="40"/>
      <c r="F559" s="54"/>
      <c r="G559" s="40"/>
      <c r="H559" s="44"/>
      <c r="I559"/>
    </row>
    <row r="560" spans="1:9" s="1" customFormat="1">
      <c r="A560" s="53"/>
      <c r="B560" s="63"/>
      <c r="C560" s="40"/>
      <c r="D560" s="40"/>
      <c r="E560" s="40"/>
      <c r="F560" s="54"/>
      <c r="G560" s="40"/>
      <c r="H560" s="44"/>
      <c r="I560" s="45"/>
    </row>
    <row r="561" spans="1:9" s="1" customFormat="1">
      <c r="A561" s="53"/>
      <c r="B561" s="64"/>
      <c r="C561" s="40"/>
      <c r="D561" s="40"/>
      <c r="E561" s="40"/>
      <c r="F561" s="54"/>
      <c r="G561" s="40"/>
      <c r="H561" s="44"/>
      <c r="I561" s="45"/>
    </row>
    <row r="562" spans="1:9" s="1" customFormat="1">
      <c r="A562" s="53"/>
      <c r="B562" s="64"/>
      <c r="C562" s="40"/>
      <c r="D562" s="40"/>
      <c r="E562" s="40"/>
      <c r="F562" s="54"/>
      <c r="G562" s="40"/>
      <c r="H562" s="44"/>
      <c r="I562" s="45"/>
    </row>
    <row r="563" spans="1:9" s="1" customFormat="1">
      <c r="A563" s="53"/>
      <c r="B563" s="64"/>
      <c r="C563" s="40"/>
      <c r="D563" s="40"/>
      <c r="E563" s="40"/>
      <c r="F563" s="54"/>
      <c r="G563" s="40"/>
      <c r="H563" s="44"/>
      <c r="I563" s="45"/>
    </row>
    <row r="564" spans="1:9" s="1" customFormat="1">
      <c r="A564" s="53"/>
      <c r="B564" s="64"/>
      <c r="C564" s="40"/>
      <c r="D564" s="40"/>
      <c r="E564" s="40"/>
      <c r="F564" s="54"/>
      <c r="G564" s="40"/>
      <c r="H564" s="44"/>
      <c r="I564" s="45"/>
    </row>
    <row r="565" spans="1:9" s="1" customFormat="1">
      <c r="A565" s="53"/>
      <c r="B565" s="64"/>
      <c r="C565" s="40"/>
      <c r="D565" s="40"/>
      <c r="E565" s="40"/>
      <c r="F565" s="54"/>
      <c r="G565" s="40"/>
      <c r="H565" s="44"/>
      <c r="I565" s="45"/>
    </row>
    <row r="566" spans="1:9" s="1" customFormat="1">
      <c r="A566" s="53"/>
      <c r="B566" s="64"/>
      <c r="C566" s="40"/>
      <c r="D566" s="40"/>
      <c r="E566" s="40"/>
      <c r="F566" s="54"/>
      <c r="G566" s="40"/>
      <c r="H566" s="44"/>
      <c r="I566" s="45"/>
    </row>
    <row r="567" spans="1:9" s="1" customFormat="1">
      <c r="A567" s="53"/>
      <c r="B567" s="64"/>
      <c r="C567" s="40"/>
      <c r="D567" s="40"/>
      <c r="E567" s="40"/>
      <c r="F567" s="54"/>
      <c r="G567" s="40"/>
      <c r="H567" s="44"/>
      <c r="I567" s="45"/>
    </row>
    <row r="568" spans="1:9" s="1" customFormat="1">
      <c r="A568" s="53"/>
      <c r="B568" s="64"/>
      <c r="C568" s="40"/>
      <c r="D568" s="40"/>
      <c r="E568" s="40"/>
      <c r="F568" s="54"/>
      <c r="G568" s="40"/>
      <c r="H568" s="44"/>
      <c r="I568" s="45"/>
    </row>
    <row r="569" spans="1:9" s="1" customFormat="1">
      <c r="A569" s="53"/>
      <c r="B569" s="64"/>
      <c r="C569" s="40"/>
      <c r="D569" s="40"/>
      <c r="E569" s="40"/>
      <c r="F569" s="54"/>
      <c r="G569" s="40"/>
      <c r="H569" s="44"/>
      <c r="I569" s="45"/>
    </row>
    <row r="570" spans="1:9" s="1" customFormat="1">
      <c r="A570" s="53"/>
      <c r="B570" s="64"/>
      <c r="C570" s="40"/>
      <c r="D570" s="40"/>
      <c r="E570" s="40"/>
      <c r="F570" s="54"/>
      <c r="G570" s="40"/>
      <c r="H570" s="44"/>
      <c r="I570" s="45"/>
    </row>
    <row r="571" spans="1:9" s="1" customFormat="1">
      <c r="A571" s="53"/>
      <c r="B571" s="64"/>
      <c r="C571" s="40"/>
      <c r="D571" s="40"/>
      <c r="E571" s="40"/>
      <c r="F571" s="54"/>
      <c r="G571" s="40"/>
      <c r="H571" s="44"/>
      <c r="I571" s="45"/>
    </row>
    <row r="572" spans="1:9" s="1" customFormat="1">
      <c r="A572" s="53"/>
      <c r="B572" s="64"/>
      <c r="C572" s="40"/>
      <c r="D572" s="40"/>
      <c r="E572" s="40"/>
      <c r="F572" s="54"/>
      <c r="G572" s="40"/>
      <c r="H572" s="44"/>
      <c r="I572" s="45"/>
    </row>
    <row r="573" spans="1:9" s="1" customFormat="1">
      <c r="A573" s="53"/>
      <c r="B573" s="64"/>
      <c r="C573" s="40"/>
      <c r="D573" s="40"/>
      <c r="E573" s="40"/>
      <c r="F573" s="54"/>
      <c r="G573" s="40"/>
      <c r="H573" s="44"/>
      <c r="I573" s="45"/>
    </row>
    <row r="574" spans="1:9" s="1" customFormat="1">
      <c r="A574" s="53"/>
      <c r="B574" s="64"/>
      <c r="C574" s="40"/>
      <c r="D574" s="40"/>
      <c r="E574" s="40"/>
      <c r="F574" s="54"/>
      <c r="G574" s="40"/>
      <c r="H574" s="44"/>
      <c r="I574" s="45"/>
    </row>
    <row r="575" spans="1:9" s="1" customFormat="1">
      <c r="A575" s="53"/>
      <c r="B575" s="64"/>
      <c r="C575" s="40"/>
      <c r="D575" s="40"/>
      <c r="E575" s="40"/>
      <c r="F575" s="54"/>
      <c r="G575" s="40"/>
      <c r="H575" s="44"/>
      <c r="I575" s="45"/>
    </row>
    <row r="576" spans="1:9" s="1" customFormat="1">
      <c r="A576" s="53"/>
      <c r="B576" s="64"/>
      <c r="C576" s="40"/>
      <c r="D576" s="40"/>
      <c r="E576" s="40"/>
      <c r="F576" s="54"/>
      <c r="G576" s="40"/>
      <c r="H576" s="44"/>
      <c r="I576" s="45"/>
    </row>
    <row r="577" spans="1:9" s="1" customFormat="1">
      <c r="A577" s="53"/>
      <c r="B577" s="64"/>
      <c r="C577" s="40"/>
      <c r="D577" s="40"/>
      <c r="E577" s="40"/>
      <c r="F577" s="54"/>
      <c r="G577" s="40"/>
      <c r="H577" s="44"/>
      <c r="I577" s="45"/>
    </row>
    <row r="578" spans="1:9" s="1" customFormat="1">
      <c r="A578" s="53"/>
      <c r="B578" s="64"/>
      <c r="C578" s="40"/>
      <c r="D578" s="40"/>
      <c r="E578" s="40"/>
      <c r="F578" s="54"/>
      <c r="G578" s="40"/>
      <c r="H578" s="44"/>
      <c r="I578" s="45"/>
    </row>
    <row r="579" spans="1:9" s="1" customFormat="1">
      <c r="A579" s="53"/>
      <c r="B579" s="64"/>
      <c r="C579" s="40"/>
      <c r="D579" s="40"/>
      <c r="E579" s="40"/>
      <c r="F579" s="54"/>
      <c r="G579" s="40"/>
      <c r="H579" s="44"/>
      <c r="I579" s="45"/>
    </row>
    <row r="580" spans="1:9" s="1" customFormat="1">
      <c r="A580" s="53"/>
      <c r="B580" s="64"/>
      <c r="C580" s="40"/>
      <c r="D580" s="40"/>
      <c r="E580" s="40"/>
      <c r="F580" s="54"/>
      <c r="G580" s="40"/>
      <c r="H580" s="44"/>
      <c r="I580" s="45"/>
    </row>
    <row r="581" spans="1:9" s="1" customFormat="1">
      <c r="A581" s="53"/>
      <c r="B581" s="64"/>
      <c r="C581" s="40"/>
      <c r="D581" s="40"/>
      <c r="E581" s="40"/>
      <c r="F581" s="54"/>
      <c r="G581" s="40"/>
      <c r="H581" s="44"/>
      <c r="I581" s="45"/>
    </row>
    <row r="582" spans="1:9" s="1" customFormat="1">
      <c r="A582" s="69"/>
      <c r="B582" s="46"/>
      <c r="C582" s="46"/>
      <c r="D582" s="46"/>
      <c r="E582" s="46"/>
      <c r="F582" s="46"/>
      <c r="G582" s="46"/>
      <c r="H582" s="46"/>
      <c r="I582" s="46"/>
    </row>
    <row r="583" spans="1:9" s="1" customFormat="1">
      <c r="A583"/>
      <c r="B583" s="40"/>
      <c r="C583" s="40"/>
      <c r="D583" s="40"/>
      <c r="E583" s="40"/>
      <c r="F583"/>
      <c r="G583"/>
      <c r="H583"/>
      <c r="I583"/>
    </row>
    <row r="584" spans="1:9" s="1" customFormat="1">
      <c r="A584"/>
      <c r="B584"/>
      <c r="C584" s="65"/>
      <c r="D584" s="65"/>
      <c r="E584" s="66"/>
      <c r="F584" s="67"/>
      <c r="G584" s="65"/>
      <c r="H584"/>
      <c r="I584" s="68"/>
    </row>
    <row r="585" spans="1:9" s="1" customFormat="1" ht="12"/>
    <row r="586" spans="1:9" s="1" customFormat="1" ht="20.25">
      <c r="A586" s="42"/>
      <c r="B586" s="41"/>
      <c r="G586" s="43"/>
      <c r="H586" s="43"/>
      <c r="I586" s="43"/>
    </row>
    <row r="587" spans="1:9" s="1" customFormat="1" ht="20.25">
      <c r="A587" s="43"/>
      <c r="B587" s="43"/>
      <c r="C587" s="43"/>
      <c r="D587" s="43"/>
      <c r="E587" s="43"/>
      <c r="F587" s="43"/>
      <c r="G587" s="43"/>
      <c r="H587" s="43"/>
      <c r="I587" s="43"/>
    </row>
    <row r="588" spans="1:9" s="1" customFormat="1" ht="31.5" customHeight="1">
      <c r="A588" s="506"/>
      <c r="B588" s="563"/>
      <c r="C588" s="563"/>
      <c r="D588" s="147"/>
      <c r="E588" s="43"/>
      <c r="F588" s="43"/>
      <c r="G588" s="43"/>
      <c r="H588" s="43"/>
      <c r="I588" s="43"/>
    </row>
    <row r="589" spans="1:9" s="1" customFormat="1">
      <c r="A589" s="55"/>
      <c r="B589" s="55"/>
      <c r="C589" s="55"/>
      <c r="D589" s="55"/>
      <c r="E589" s="55"/>
      <c r="F589" s="55"/>
      <c r="G589" s="56"/>
      <c r="H589" s="56"/>
      <c r="I589" s="510"/>
    </row>
    <row r="590" spans="1:9" s="1" customFormat="1">
      <c r="A590" s="55"/>
      <c r="B590" s="55"/>
      <c r="C590" s="55"/>
      <c r="D590" s="55"/>
      <c r="E590" s="55"/>
      <c r="F590" s="55"/>
      <c r="G590" s="56"/>
      <c r="H590" s="56"/>
      <c r="I590" s="510"/>
    </row>
    <row r="591" spans="1:9" s="1" customFormat="1">
      <c r="A591"/>
      <c r="B591"/>
      <c r="C591"/>
      <c r="D591"/>
      <c r="E591"/>
      <c r="F591"/>
      <c r="G591"/>
      <c r="H591" s="40"/>
      <c r="I591"/>
    </row>
    <row r="592" spans="1:9" s="1" customFormat="1">
      <c r="A592"/>
      <c r="B592"/>
      <c r="C592"/>
      <c r="D592"/>
      <c r="E592"/>
      <c r="F592"/>
      <c r="G592" s="48"/>
      <c r="H592" s="57"/>
      <c r="I592" s="40"/>
    </row>
    <row r="593" spans="1:9" s="1" customFormat="1">
      <c r="A593"/>
      <c r="B593"/>
      <c r="C593"/>
      <c r="D593"/>
      <c r="E593"/>
      <c r="F593"/>
      <c r="G593" s="48"/>
      <c r="H593" s="57"/>
      <c r="I593" s="40"/>
    </row>
    <row r="594" spans="1:9" s="1" customFormat="1">
      <c r="A594"/>
      <c r="B594"/>
      <c r="C594"/>
      <c r="D594"/>
      <c r="E594"/>
      <c r="F594"/>
      <c r="G594" s="49"/>
      <c r="H594" s="57"/>
      <c r="I594" s="40"/>
    </row>
    <row r="595" spans="1:9" s="1" customFormat="1">
      <c r="A595"/>
      <c r="B595"/>
      <c r="C595"/>
      <c r="D595"/>
      <c r="E595"/>
      <c r="F595"/>
      <c r="G595" s="49"/>
      <c r="H595" s="57"/>
      <c r="I595" s="40"/>
    </row>
    <row r="596" spans="1:9" s="1" customFormat="1">
      <c r="A596"/>
      <c r="B596"/>
      <c r="C596"/>
      <c r="D596"/>
      <c r="E596"/>
      <c r="F596"/>
      <c r="G596" s="49"/>
      <c r="H596" s="57"/>
      <c r="I596" s="40"/>
    </row>
    <row r="597" spans="1:9" s="1" customFormat="1">
      <c r="A597"/>
      <c r="B597"/>
      <c r="C597"/>
      <c r="D597"/>
      <c r="E597"/>
      <c r="F597"/>
      <c r="G597" s="49"/>
      <c r="H597" s="57"/>
      <c r="I597" s="40"/>
    </row>
    <row r="598" spans="1:9" s="1" customFormat="1">
      <c r="A598"/>
      <c r="B598"/>
      <c r="C598"/>
      <c r="D598"/>
      <c r="E598"/>
      <c r="F598"/>
      <c r="G598"/>
      <c r="H598"/>
      <c r="I598"/>
    </row>
    <row r="599" spans="1:9" s="1" customFormat="1">
      <c r="A599" s="55"/>
      <c r="B599" s="55"/>
      <c r="C599" s="55"/>
      <c r="D599" s="55"/>
      <c r="E599" s="55"/>
      <c r="F599" s="55"/>
      <c r="G599" s="509"/>
      <c r="H599" s="58"/>
      <c r="I599" s="58"/>
    </row>
    <row r="600" spans="1:9" s="1" customFormat="1">
      <c r="A600" s="55"/>
      <c r="B600" s="55"/>
      <c r="C600" s="55"/>
      <c r="D600" s="55"/>
      <c r="E600" s="55"/>
      <c r="F600" s="55"/>
      <c r="G600" s="509"/>
      <c r="H600" s="58"/>
      <c r="I600" s="58"/>
    </row>
    <row r="601" spans="1:9" s="1" customFormat="1">
      <c r="A601" s="50"/>
      <c r="B601"/>
      <c r="C601" s="51"/>
      <c r="D601" s="51"/>
      <c r="E601" s="51"/>
      <c r="F601"/>
      <c r="G601" s="51"/>
      <c r="H601" s="59"/>
      <c r="I601" s="40"/>
    </row>
    <row r="602" spans="1:9" s="1" customFormat="1">
      <c r="A602"/>
      <c r="B602"/>
      <c r="C602"/>
      <c r="D602"/>
      <c r="E602"/>
      <c r="F602"/>
      <c r="G602" s="40"/>
      <c r="H602" s="40"/>
      <c r="I602" s="57"/>
    </row>
    <row r="603" spans="1:9" s="1" customFormat="1">
      <c r="A603"/>
      <c r="B603"/>
      <c r="C603"/>
      <c r="D603"/>
      <c r="E603"/>
      <c r="F603"/>
      <c r="G603" s="57"/>
      <c r="H603" s="40"/>
      <c r="I603" s="40"/>
    </row>
    <row r="604" spans="1:9" s="1" customFormat="1">
      <c r="A604"/>
      <c r="B604"/>
      <c r="C604"/>
      <c r="D604"/>
      <c r="E604"/>
      <c r="F604"/>
      <c r="G604" s="38"/>
      <c r="H604" s="40"/>
      <c r="I604" s="40"/>
    </row>
    <row r="605" spans="1:9" s="1" customFormat="1">
      <c r="A605"/>
      <c r="B605"/>
      <c r="C605"/>
      <c r="D605"/>
      <c r="E605"/>
      <c r="F605"/>
      <c r="G605" s="60"/>
      <c r="H605" s="40"/>
      <c r="I605" s="40"/>
    </row>
    <row r="606" spans="1:9" s="1" customFormat="1">
      <c r="A606"/>
      <c r="B606"/>
      <c r="C606"/>
      <c r="D606"/>
      <c r="E606"/>
      <c r="F606" s="40"/>
      <c r="G606"/>
      <c r="H606"/>
      <c r="I606"/>
    </row>
    <row r="607" spans="1:9" s="1" customFormat="1">
      <c r="A607" s="52"/>
      <c r="B607"/>
      <c r="C607"/>
      <c r="D607"/>
      <c r="E607"/>
      <c r="F607" s="40"/>
      <c r="G607"/>
      <c r="H607"/>
      <c r="I607"/>
    </row>
    <row r="608" spans="1:9" s="1" customFormat="1">
      <c r="A608"/>
      <c r="B608" s="61"/>
      <c r="C608"/>
      <c r="D608"/>
      <c r="E608"/>
      <c r="F608"/>
      <c r="G608"/>
      <c r="H608"/>
      <c r="I608"/>
    </row>
    <row r="609" spans="1:9" s="1" customFormat="1">
      <c r="A609" s="507"/>
      <c r="B609" s="62"/>
      <c r="C609" s="62"/>
      <c r="D609" s="62"/>
      <c r="E609" s="507"/>
      <c r="F609" s="507"/>
      <c r="G609" s="507"/>
      <c r="H609" s="507"/>
      <c r="I609" s="507"/>
    </row>
    <row r="610" spans="1:9" s="1" customFormat="1">
      <c r="A610" s="507"/>
      <c r="B610" s="62"/>
      <c r="C610" s="62"/>
      <c r="D610" s="62"/>
      <c r="E610" s="62"/>
      <c r="F610" s="62"/>
      <c r="G610" s="508"/>
      <c r="H610" s="508"/>
      <c r="I610" s="508"/>
    </row>
    <row r="611" spans="1:9" s="1" customFormat="1">
      <c r="A611" s="53"/>
      <c r="B611" s="63"/>
      <c r="C611" s="40"/>
      <c r="D611" s="40"/>
      <c r="E611" s="40"/>
      <c r="F611" s="54"/>
      <c r="G611" s="40"/>
      <c r="H611" s="40"/>
      <c r="I611" s="45"/>
    </row>
    <row r="612" spans="1:9" s="1" customFormat="1">
      <c r="A612" s="53"/>
      <c r="B612" s="63"/>
      <c r="C612" s="40"/>
      <c r="D612" s="40"/>
      <c r="E612" s="40"/>
      <c r="F612" s="54"/>
      <c r="G612" s="40"/>
      <c r="H612" s="44"/>
      <c r="I612" s="45"/>
    </row>
    <row r="613" spans="1:9" s="1" customFormat="1">
      <c r="A613" s="53"/>
      <c r="B613" s="63"/>
      <c r="C613" s="40"/>
      <c r="D613" s="40"/>
      <c r="E613" s="40"/>
      <c r="F613" s="54"/>
      <c r="G613" s="40"/>
      <c r="H613" s="44"/>
      <c r="I613"/>
    </row>
    <row r="614" spans="1:9" s="1" customFormat="1">
      <c r="A614" s="53"/>
      <c r="B614" s="63"/>
      <c r="C614" s="40"/>
      <c r="D614" s="40"/>
      <c r="E614" s="40"/>
      <c r="F614" s="54"/>
      <c r="G614" s="40"/>
      <c r="H614" s="44"/>
      <c r="I614" s="45"/>
    </row>
    <row r="615" spans="1:9" s="1" customFormat="1">
      <c r="A615" s="53"/>
      <c r="B615" s="64"/>
      <c r="C615" s="40"/>
      <c r="D615" s="40"/>
      <c r="E615" s="40"/>
      <c r="F615" s="54"/>
      <c r="G615" s="40"/>
      <c r="H615" s="44"/>
      <c r="I615" s="45"/>
    </row>
    <row r="616" spans="1:9" s="1" customFormat="1">
      <c r="A616" s="53"/>
      <c r="B616" s="64"/>
      <c r="C616" s="40"/>
      <c r="D616" s="40"/>
      <c r="E616" s="40"/>
      <c r="F616" s="54"/>
      <c r="G616" s="40"/>
      <c r="H616" s="44"/>
      <c r="I616" s="45"/>
    </row>
    <row r="617" spans="1:9" s="1" customFormat="1">
      <c r="A617" s="53"/>
      <c r="B617" s="64"/>
      <c r="C617" s="40"/>
      <c r="D617" s="40"/>
      <c r="E617" s="40"/>
      <c r="F617" s="54"/>
      <c r="G617" s="40"/>
      <c r="H617" s="44"/>
      <c r="I617" s="45"/>
    </row>
    <row r="618" spans="1:9" s="1" customFormat="1">
      <c r="A618" s="53"/>
      <c r="B618" s="64"/>
      <c r="C618" s="40"/>
      <c r="D618" s="40"/>
      <c r="E618" s="40"/>
      <c r="F618" s="54"/>
      <c r="G618" s="40"/>
      <c r="H618" s="44"/>
      <c r="I618" s="45"/>
    </row>
    <row r="619" spans="1:9" s="1" customFormat="1">
      <c r="A619" s="53"/>
      <c r="B619" s="64"/>
      <c r="C619" s="40"/>
      <c r="D619" s="40"/>
      <c r="E619" s="40"/>
      <c r="F619" s="54"/>
      <c r="G619" s="40"/>
      <c r="H619" s="44"/>
      <c r="I619" s="45"/>
    </row>
    <row r="620" spans="1:9" s="1" customFormat="1">
      <c r="A620" s="53"/>
      <c r="B620" s="64"/>
      <c r="C620" s="40"/>
      <c r="D620" s="40"/>
      <c r="E620" s="40"/>
      <c r="F620" s="54"/>
      <c r="G620" s="40"/>
      <c r="H620" s="44"/>
      <c r="I620" s="45"/>
    </row>
    <row r="621" spans="1:9" s="1" customFormat="1">
      <c r="A621" s="53"/>
      <c r="B621" s="64"/>
      <c r="C621" s="40"/>
      <c r="D621" s="40"/>
      <c r="E621" s="40"/>
      <c r="F621" s="54"/>
      <c r="G621" s="40"/>
      <c r="H621" s="44"/>
      <c r="I621" s="45"/>
    </row>
    <row r="622" spans="1:9" s="1" customFormat="1">
      <c r="A622" s="53"/>
      <c r="B622" s="64"/>
      <c r="C622" s="40"/>
      <c r="D622" s="40"/>
      <c r="E622" s="40"/>
      <c r="F622" s="54"/>
      <c r="G622" s="40"/>
      <c r="H622" s="44"/>
      <c r="I622" s="45"/>
    </row>
    <row r="623" spans="1:9" s="1" customFormat="1">
      <c r="A623" s="53"/>
      <c r="B623" s="64"/>
      <c r="C623" s="40"/>
      <c r="D623" s="40"/>
      <c r="E623" s="40"/>
      <c r="F623" s="54"/>
      <c r="G623" s="40"/>
      <c r="H623" s="44"/>
      <c r="I623" s="45"/>
    </row>
    <row r="624" spans="1:9" s="1" customFormat="1">
      <c r="A624" s="53"/>
      <c r="B624" s="64"/>
      <c r="C624" s="40"/>
      <c r="D624" s="40"/>
      <c r="E624" s="40"/>
      <c r="F624" s="54"/>
      <c r="G624" s="40"/>
      <c r="H624" s="44"/>
      <c r="I624" s="45"/>
    </row>
    <row r="625" spans="1:9" s="1" customFormat="1">
      <c r="A625" s="53"/>
      <c r="B625" s="64"/>
      <c r="C625" s="40"/>
      <c r="D625" s="40"/>
      <c r="E625" s="40"/>
      <c r="F625" s="54"/>
      <c r="G625" s="40"/>
      <c r="H625" s="44"/>
      <c r="I625" s="45"/>
    </row>
    <row r="626" spans="1:9" s="1" customFormat="1">
      <c r="A626" s="53"/>
      <c r="B626" s="64"/>
      <c r="C626" s="40"/>
      <c r="D626" s="40"/>
      <c r="E626" s="40"/>
      <c r="F626" s="54"/>
      <c r="G626" s="40"/>
      <c r="H626" s="44"/>
      <c r="I626" s="45"/>
    </row>
    <row r="627" spans="1:9" s="1" customFormat="1">
      <c r="A627" s="53"/>
      <c r="B627" s="64"/>
      <c r="C627" s="40"/>
      <c r="D627" s="40"/>
      <c r="E627" s="40"/>
      <c r="F627" s="54"/>
      <c r="G627" s="40"/>
      <c r="H627" s="44"/>
      <c r="I627" s="45"/>
    </row>
    <row r="628" spans="1:9" s="1" customFormat="1">
      <c r="A628" s="53"/>
      <c r="B628" s="64"/>
      <c r="C628" s="40"/>
      <c r="D628" s="40"/>
      <c r="E628" s="40"/>
      <c r="F628" s="54"/>
      <c r="G628" s="40"/>
      <c r="H628" s="44"/>
      <c r="I628" s="45"/>
    </row>
    <row r="629" spans="1:9" s="1" customFormat="1">
      <c r="A629" s="53"/>
      <c r="B629" s="64"/>
      <c r="C629" s="40"/>
      <c r="D629" s="40"/>
      <c r="E629" s="40"/>
      <c r="F629" s="54"/>
      <c r="G629" s="40"/>
      <c r="H629" s="44"/>
      <c r="I629" s="45"/>
    </row>
    <row r="630" spans="1:9" s="1" customFormat="1">
      <c r="A630" s="53"/>
      <c r="B630" s="64"/>
      <c r="C630" s="40"/>
      <c r="D630" s="40"/>
      <c r="E630" s="40"/>
      <c r="F630" s="54"/>
      <c r="G630" s="40"/>
      <c r="H630" s="44"/>
      <c r="I630" s="45"/>
    </row>
    <row r="631" spans="1:9" s="1" customFormat="1">
      <c r="A631" s="53"/>
      <c r="B631" s="64"/>
      <c r="C631" s="40"/>
      <c r="D631" s="40"/>
      <c r="E631" s="40"/>
      <c r="F631" s="54"/>
      <c r="G631" s="40"/>
      <c r="H631" s="44"/>
      <c r="I631" s="45"/>
    </row>
    <row r="632" spans="1:9" s="1" customFormat="1">
      <c r="A632" s="53"/>
      <c r="B632" s="64"/>
      <c r="C632" s="40"/>
      <c r="D632" s="40"/>
      <c r="E632" s="40"/>
      <c r="F632" s="54"/>
      <c r="G632" s="40"/>
      <c r="H632" s="44"/>
      <c r="I632" s="45"/>
    </row>
    <row r="633" spans="1:9" s="1" customFormat="1">
      <c r="A633" s="53"/>
      <c r="B633" s="64"/>
      <c r="C633" s="40"/>
      <c r="D633" s="40"/>
      <c r="E633" s="40"/>
      <c r="F633" s="54"/>
      <c r="G633" s="40"/>
      <c r="H633" s="44"/>
      <c r="I633" s="45"/>
    </row>
    <row r="634" spans="1:9" s="1" customFormat="1">
      <c r="A634" s="53"/>
      <c r="B634" s="64"/>
      <c r="C634" s="40"/>
      <c r="D634" s="40"/>
      <c r="E634" s="40"/>
      <c r="F634" s="54"/>
      <c r="G634" s="40"/>
      <c r="H634" s="44"/>
      <c r="I634" s="45"/>
    </row>
    <row r="635" spans="1:9" s="1" customFormat="1">
      <c r="A635" s="53"/>
      <c r="B635" s="64"/>
      <c r="C635" s="40"/>
      <c r="D635" s="40"/>
      <c r="E635" s="40"/>
      <c r="F635" s="54"/>
      <c r="G635" s="40"/>
      <c r="H635" s="44"/>
      <c r="I635" s="45"/>
    </row>
    <row r="636" spans="1:9" s="1" customFormat="1">
      <c r="A636" s="69"/>
      <c r="B636" s="46"/>
      <c r="C636" s="46"/>
      <c r="D636" s="46"/>
      <c r="E636" s="46"/>
      <c r="F636" s="46"/>
      <c r="G636" s="46"/>
      <c r="H636" s="46"/>
      <c r="I636" s="46"/>
    </row>
    <row r="637" spans="1:9" s="1" customFormat="1">
      <c r="A637"/>
      <c r="B637" s="40"/>
      <c r="C637" s="40"/>
      <c r="D637" s="40"/>
      <c r="E637" s="40"/>
      <c r="F637"/>
      <c r="G637"/>
      <c r="H637"/>
      <c r="I637"/>
    </row>
    <row r="638" spans="1:9" s="1" customFormat="1">
      <c r="A638"/>
      <c r="B638"/>
      <c r="C638" s="65"/>
      <c r="D638" s="65"/>
      <c r="E638" s="66"/>
      <c r="F638" s="67"/>
      <c r="G638" s="65"/>
      <c r="H638"/>
      <c r="I638" s="68"/>
    </row>
    <row r="639" spans="1:9" s="1" customFormat="1" ht="12"/>
    <row r="640" spans="1:9" s="1" customFormat="1" ht="12"/>
    <row r="641" spans="1:9" s="1" customFormat="1" ht="20.25">
      <c r="A641" s="506"/>
      <c r="B641" s="563"/>
      <c r="C641" s="563"/>
      <c r="D641" s="147"/>
      <c r="E641" s="43"/>
      <c r="F641" s="43"/>
      <c r="G641" s="43"/>
      <c r="H641" s="43"/>
      <c r="I641" s="43"/>
    </row>
    <row r="642" spans="1:9" s="1" customFormat="1">
      <c r="A642" s="55"/>
      <c r="B642" s="55"/>
      <c r="C642" s="55"/>
      <c r="D642" s="55"/>
      <c r="E642" s="55"/>
      <c r="F642" s="55"/>
      <c r="G642" s="56"/>
      <c r="H642" s="56"/>
      <c r="I642" s="510"/>
    </row>
    <row r="643" spans="1:9" s="1" customFormat="1">
      <c r="A643" s="55"/>
      <c r="B643" s="55"/>
      <c r="C643" s="55"/>
      <c r="D643" s="55"/>
      <c r="E643" s="55"/>
      <c r="F643" s="55"/>
      <c r="G643" s="56"/>
      <c r="H643" s="56"/>
      <c r="I643" s="510"/>
    </row>
    <row r="644" spans="1:9" s="1" customFormat="1">
      <c r="A644"/>
      <c r="B644"/>
      <c r="C644"/>
      <c r="D644"/>
      <c r="E644"/>
      <c r="F644"/>
      <c r="G644"/>
      <c r="H644" s="40"/>
      <c r="I644"/>
    </row>
    <row r="645" spans="1:9" s="1" customFormat="1">
      <c r="A645"/>
      <c r="B645"/>
      <c r="C645"/>
      <c r="D645"/>
      <c r="E645"/>
      <c r="F645"/>
      <c r="G645" s="47"/>
      <c r="H645" s="57"/>
      <c r="I645" s="40"/>
    </row>
    <row r="646" spans="1:9" s="1" customFormat="1">
      <c r="A646"/>
      <c r="B646"/>
      <c r="C646"/>
      <c r="D646"/>
      <c r="E646"/>
      <c r="F646"/>
      <c r="G646" s="48"/>
      <c r="H646" s="57"/>
      <c r="I646" s="40"/>
    </row>
    <row r="647" spans="1:9" s="1" customFormat="1">
      <c r="A647"/>
      <c r="B647"/>
      <c r="C647"/>
      <c r="D647"/>
      <c r="E647"/>
      <c r="F647"/>
      <c r="G647" s="49"/>
      <c r="H647" s="57"/>
      <c r="I647" s="40"/>
    </row>
    <row r="648" spans="1:9" s="1" customFormat="1">
      <c r="A648"/>
      <c r="B648"/>
      <c r="C648"/>
      <c r="D648"/>
      <c r="E648"/>
      <c r="F648"/>
      <c r="G648" s="49"/>
      <c r="H648" s="57"/>
      <c r="I648" s="40"/>
    </row>
    <row r="649" spans="1:9" s="1" customFormat="1">
      <c r="A649"/>
      <c r="B649"/>
      <c r="C649"/>
      <c r="D649"/>
      <c r="E649"/>
      <c r="F649"/>
      <c r="G649" s="49"/>
      <c r="H649" s="57"/>
      <c r="I649" s="40"/>
    </row>
    <row r="650" spans="1:9" s="1" customFormat="1">
      <c r="A650"/>
      <c r="B650"/>
      <c r="C650"/>
      <c r="D650"/>
      <c r="E650"/>
      <c r="F650"/>
      <c r="G650" s="49"/>
      <c r="H650" s="57"/>
      <c r="I650" s="40"/>
    </row>
    <row r="651" spans="1:9" s="1" customFormat="1">
      <c r="A651"/>
      <c r="B651"/>
      <c r="C651"/>
      <c r="D651"/>
      <c r="E651"/>
      <c r="F651"/>
      <c r="G651"/>
      <c r="H651"/>
      <c r="I651"/>
    </row>
    <row r="652" spans="1:9" s="1" customFormat="1">
      <c r="A652" s="55"/>
      <c r="B652" s="55"/>
      <c r="C652" s="55"/>
      <c r="D652" s="55"/>
      <c r="E652" s="55"/>
      <c r="F652" s="55"/>
      <c r="G652" s="509"/>
      <c r="H652" s="58"/>
      <c r="I652" s="58"/>
    </row>
    <row r="653" spans="1:9" s="1" customFormat="1">
      <c r="A653" s="55"/>
      <c r="B653" s="55"/>
      <c r="C653" s="55"/>
      <c r="D653" s="55"/>
      <c r="E653" s="55"/>
      <c r="F653" s="55"/>
      <c r="G653" s="509"/>
      <c r="H653" s="58"/>
      <c r="I653" s="58"/>
    </row>
    <row r="654" spans="1:9" s="1" customFormat="1">
      <c r="A654" s="50"/>
      <c r="B654"/>
      <c r="C654" s="51"/>
      <c r="D654" s="51"/>
      <c r="E654" s="51"/>
      <c r="F654"/>
      <c r="G654" s="51"/>
      <c r="H654" s="59"/>
      <c r="I654" s="40"/>
    </row>
    <row r="655" spans="1:9" s="1" customFormat="1">
      <c r="A655"/>
      <c r="B655"/>
      <c r="C655"/>
      <c r="D655"/>
      <c r="E655"/>
      <c r="F655"/>
      <c r="G655" s="40"/>
      <c r="H655" s="40"/>
      <c r="I655" s="57"/>
    </row>
    <row r="656" spans="1:9" s="1" customFormat="1">
      <c r="A656"/>
      <c r="B656"/>
      <c r="C656"/>
      <c r="D656"/>
      <c r="E656"/>
      <c r="F656"/>
      <c r="G656" s="57"/>
      <c r="H656" s="40"/>
      <c r="I656" s="40"/>
    </row>
    <row r="657" spans="1:9" s="1" customFormat="1">
      <c r="A657"/>
      <c r="B657"/>
      <c r="C657"/>
      <c r="D657"/>
      <c r="E657"/>
      <c r="F657"/>
      <c r="G657" s="38"/>
      <c r="H657" s="40"/>
      <c r="I657" s="40"/>
    </row>
    <row r="658" spans="1:9" s="1" customFormat="1">
      <c r="A658"/>
      <c r="B658"/>
      <c r="C658"/>
      <c r="D658"/>
      <c r="E658"/>
      <c r="F658"/>
      <c r="G658" s="60"/>
      <c r="H658" s="40"/>
      <c r="I658" s="40"/>
    </row>
    <row r="659" spans="1:9" s="1" customFormat="1">
      <c r="A659"/>
      <c r="B659"/>
      <c r="C659"/>
      <c r="D659"/>
      <c r="E659"/>
      <c r="F659" s="40"/>
      <c r="G659"/>
      <c r="H659"/>
      <c r="I659"/>
    </row>
    <row r="660" spans="1:9" s="1" customFormat="1">
      <c r="A660" s="52"/>
      <c r="B660"/>
      <c r="C660"/>
      <c r="D660"/>
      <c r="E660"/>
      <c r="F660" s="40"/>
      <c r="G660"/>
      <c r="H660"/>
      <c r="I660"/>
    </row>
    <row r="661" spans="1:9" s="1" customFormat="1">
      <c r="A661"/>
      <c r="B661" s="61"/>
      <c r="C661"/>
      <c r="D661"/>
      <c r="E661"/>
      <c r="F661"/>
      <c r="G661"/>
      <c r="H661"/>
      <c r="I661"/>
    </row>
    <row r="662" spans="1:9" s="1" customFormat="1">
      <c r="A662" s="507"/>
      <c r="B662" s="62"/>
      <c r="C662" s="62"/>
      <c r="D662" s="62"/>
      <c r="E662" s="507"/>
      <c r="F662" s="507"/>
      <c r="G662" s="507"/>
      <c r="H662" s="507"/>
      <c r="I662" s="507"/>
    </row>
    <row r="663" spans="1:9" s="1" customFormat="1">
      <c r="A663" s="507"/>
      <c r="B663" s="62"/>
      <c r="C663" s="62"/>
      <c r="D663" s="62"/>
      <c r="E663" s="62"/>
      <c r="F663" s="62"/>
      <c r="G663" s="508"/>
      <c r="H663" s="508"/>
      <c r="I663" s="508"/>
    </row>
    <row r="664" spans="1:9" s="1" customFormat="1">
      <c r="A664" s="53"/>
      <c r="B664" s="63"/>
      <c r="C664" s="40"/>
      <c r="D664" s="40"/>
      <c r="E664" s="40"/>
      <c r="F664" s="54"/>
      <c r="G664" s="40"/>
      <c r="H664" s="40"/>
      <c r="I664" s="45"/>
    </row>
    <row r="665" spans="1:9" s="1" customFormat="1">
      <c r="A665" s="53"/>
      <c r="B665" s="63"/>
      <c r="C665" s="40"/>
      <c r="D665" s="40"/>
      <c r="E665" s="40"/>
      <c r="F665" s="54"/>
      <c r="G665" s="40"/>
      <c r="H665" s="44"/>
      <c r="I665" s="45"/>
    </row>
    <row r="666" spans="1:9" s="1" customFormat="1">
      <c r="A666" s="53"/>
      <c r="B666" s="63"/>
      <c r="C666" s="40"/>
      <c r="D666" s="40"/>
      <c r="E666" s="40"/>
      <c r="F666" s="54"/>
      <c r="G666" s="40"/>
      <c r="H666" s="44"/>
      <c r="I666"/>
    </row>
    <row r="667" spans="1:9" s="1" customFormat="1">
      <c r="A667" s="53"/>
      <c r="B667" s="63"/>
      <c r="C667" s="40"/>
      <c r="D667" s="40"/>
      <c r="E667" s="40"/>
      <c r="F667" s="54"/>
      <c r="G667" s="40"/>
      <c r="H667" s="44"/>
      <c r="I667" s="45"/>
    </row>
    <row r="668" spans="1:9" s="1" customFormat="1">
      <c r="A668" s="53"/>
      <c r="B668" s="64"/>
      <c r="C668" s="40"/>
      <c r="D668" s="40"/>
      <c r="E668" s="40"/>
      <c r="F668" s="54"/>
      <c r="G668" s="40"/>
      <c r="H668" s="44"/>
      <c r="I668" s="45"/>
    </row>
    <row r="669" spans="1:9" s="1" customFormat="1">
      <c r="A669" s="53"/>
      <c r="B669" s="64"/>
      <c r="C669" s="40"/>
      <c r="D669" s="40"/>
      <c r="E669" s="40"/>
      <c r="F669" s="54"/>
      <c r="G669" s="40"/>
      <c r="H669" s="44"/>
      <c r="I669" s="45"/>
    </row>
    <row r="670" spans="1:9" s="1" customFormat="1">
      <c r="A670" s="53"/>
      <c r="B670" s="64"/>
      <c r="C670" s="40"/>
      <c r="D670" s="40"/>
      <c r="E670" s="40"/>
      <c r="F670" s="54"/>
      <c r="G670" s="40"/>
      <c r="H670" s="44"/>
      <c r="I670" s="45"/>
    </row>
    <row r="671" spans="1:9" s="1" customFormat="1">
      <c r="A671" s="53"/>
      <c r="B671" s="64"/>
      <c r="C671" s="40"/>
      <c r="D671" s="40"/>
      <c r="E671" s="40"/>
      <c r="F671" s="54"/>
      <c r="G671" s="40"/>
      <c r="H671" s="44"/>
      <c r="I671" s="45"/>
    </row>
    <row r="672" spans="1:9" s="1" customFormat="1">
      <c r="A672" s="53"/>
      <c r="B672" s="64"/>
      <c r="C672" s="40"/>
      <c r="D672" s="40"/>
      <c r="E672" s="40"/>
      <c r="F672" s="54"/>
      <c r="G672" s="40"/>
      <c r="H672" s="44"/>
      <c r="I672" s="45"/>
    </row>
    <row r="673" spans="1:9" s="1" customFormat="1">
      <c r="A673" s="53"/>
      <c r="B673" s="64"/>
      <c r="C673" s="40"/>
      <c r="D673" s="40"/>
      <c r="E673" s="40"/>
      <c r="F673" s="54"/>
      <c r="G673" s="40"/>
      <c r="H673" s="44"/>
      <c r="I673" s="45"/>
    </row>
    <row r="674" spans="1:9" s="1" customFormat="1">
      <c r="A674" s="53"/>
      <c r="B674" s="64"/>
      <c r="C674" s="40"/>
      <c r="D674" s="40"/>
      <c r="E674" s="40"/>
      <c r="F674" s="54"/>
      <c r="G674" s="40"/>
      <c r="H674" s="44"/>
      <c r="I674" s="45"/>
    </row>
    <row r="675" spans="1:9" s="1" customFormat="1">
      <c r="A675" s="53"/>
      <c r="B675" s="64"/>
      <c r="C675" s="40"/>
      <c r="D675" s="40"/>
      <c r="E675" s="40"/>
      <c r="F675" s="54"/>
      <c r="G675" s="40"/>
      <c r="H675" s="44"/>
      <c r="I675" s="45"/>
    </row>
    <row r="676" spans="1:9" s="1" customFormat="1">
      <c r="A676" s="53"/>
      <c r="B676" s="64"/>
      <c r="C676" s="40"/>
      <c r="D676" s="40"/>
      <c r="E676" s="40"/>
      <c r="F676" s="54"/>
      <c r="G676" s="40"/>
      <c r="H676" s="44"/>
      <c r="I676" s="45"/>
    </row>
    <row r="677" spans="1:9" s="1" customFormat="1">
      <c r="A677" s="53"/>
      <c r="B677" s="64"/>
      <c r="C677" s="40"/>
      <c r="D677" s="40"/>
      <c r="E677" s="40"/>
      <c r="F677" s="54"/>
      <c r="G677" s="40"/>
      <c r="H677" s="44"/>
      <c r="I677" s="45"/>
    </row>
    <row r="678" spans="1:9" s="1" customFormat="1">
      <c r="A678" s="53"/>
      <c r="B678" s="64"/>
      <c r="C678" s="40"/>
      <c r="D678" s="40"/>
      <c r="E678" s="40"/>
      <c r="F678" s="54"/>
      <c r="G678" s="40"/>
      <c r="H678" s="44"/>
      <c r="I678" s="45"/>
    </row>
    <row r="679" spans="1:9" s="1" customFormat="1">
      <c r="A679" s="53"/>
      <c r="B679" s="64"/>
      <c r="C679" s="40"/>
      <c r="D679" s="40"/>
      <c r="E679" s="40"/>
      <c r="F679" s="54"/>
      <c r="G679" s="40"/>
      <c r="H679" s="44"/>
      <c r="I679" s="45"/>
    </row>
    <row r="680" spans="1:9" s="1" customFormat="1">
      <c r="A680" s="53"/>
      <c r="B680" s="64"/>
      <c r="C680" s="40"/>
      <c r="D680" s="40"/>
      <c r="E680" s="40"/>
      <c r="F680" s="54"/>
      <c r="G680" s="40"/>
      <c r="H680" s="44"/>
      <c r="I680" s="45"/>
    </row>
    <row r="681" spans="1:9" s="1" customFormat="1">
      <c r="A681" s="53"/>
      <c r="B681" s="64"/>
      <c r="C681" s="40"/>
      <c r="D681" s="40"/>
      <c r="E681" s="40"/>
      <c r="F681" s="54"/>
      <c r="G681" s="40"/>
      <c r="H681" s="44"/>
      <c r="I681" s="45"/>
    </row>
    <row r="682" spans="1:9" s="1" customFormat="1">
      <c r="A682" s="53"/>
      <c r="B682" s="64"/>
      <c r="C682" s="40"/>
      <c r="D682" s="40"/>
      <c r="E682" s="40"/>
      <c r="F682" s="54"/>
      <c r="G682" s="40"/>
      <c r="H682" s="44"/>
      <c r="I682" s="45"/>
    </row>
    <row r="683" spans="1:9" s="1" customFormat="1">
      <c r="A683" s="53"/>
      <c r="B683" s="64"/>
      <c r="C683" s="40"/>
      <c r="D683" s="40"/>
      <c r="E683" s="40"/>
      <c r="F683" s="54"/>
      <c r="G683" s="40"/>
      <c r="H683" s="44"/>
      <c r="I683" s="45"/>
    </row>
    <row r="684" spans="1:9" s="1" customFormat="1">
      <c r="A684" s="53"/>
      <c r="B684" s="64"/>
      <c r="C684" s="40"/>
      <c r="D684" s="40"/>
      <c r="E684" s="40"/>
      <c r="F684" s="54"/>
      <c r="G684" s="40"/>
      <c r="H684" s="44"/>
      <c r="I684" s="45"/>
    </row>
    <row r="685" spans="1:9" s="1" customFormat="1">
      <c r="A685" s="53"/>
      <c r="B685" s="64"/>
      <c r="C685" s="40"/>
      <c r="D685" s="40"/>
      <c r="E685" s="40"/>
      <c r="F685" s="54"/>
      <c r="G685" s="40"/>
      <c r="H685" s="44"/>
      <c r="I685" s="45"/>
    </row>
    <row r="686" spans="1:9" s="1" customFormat="1">
      <c r="A686" s="53"/>
      <c r="B686" s="64"/>
      <c r="C686" s="40"/>
      <c r="D686" s="40"/>
      <c r="E686" s="40"/>
      <c r="F686" s="54"/>
      <c r="G686" s="40"/>
      <c r="H686" s="44"/>
      <c r="I686" s="45"/>
    </row>
    <row r="687" spans="1:9" s="1" customFormat="1">
      <c r="A687" s="53"/>
      <c r="B687" s="64"/>
      <c r="C687" s="40"/>
      <c r="D687" s="40"/>
      <c r="E687" s="40"/>
      <c r="F687" s="54"/>
      <c r="G687" s="40"/>
      <c r="H687" s="44"/>
      <c r="I687" s="45"/>
    </row>
    <row r="688" spans="1:9" s="1" customFormat="1">
      <c r="A688" s="53"/>
      <c r="B688" s="64"/>
      <c r="C688" s="40"/>
      <c r="D688" s="40"/>
      <c r="E688" s="40"/>
      <c r="F688" s="54"/>
      <c r="G688" s="40"/>
      <c r="H688" s="44"/>
      <c r="I688" s="45"/>
    </row>
    <row r="689" spans="1:9" s="1" customFormat="1">
      <c r="A689" s="69"/>
      <c r="B689" s="46"/>
      <c r="C689" s="46"/>
      <c r="D689" s="46"/>
      <c r="E689" s="46"/>
      <c r="F689" s="46"/>
      <c r="G689" s="46"/>
      <c r="H689" s="46"/>
      <c r="I689" s="46"/>
    </row>
    <row r="690" spans="1:9" s="1" customFormat="1">
      <c r="A690"/>
      <c r="B690" s="40"/>
      <c r="C690" s="40"/>
      <c r="D690" s="40"/>
      <c r="E690" s="40"/>
      <c r="F690"/>
      <c r="G690"/>
      <c r="H690"/>
      <c r="I690"/>
    </row>
    <row r="691" spans="1:9" s="1" customFormat="1">
      <c r="A691"/>
      <c r="B691"/>
      <c r="C691" s="65"/>
      <c r="D691" s="65"/>
      <c r="E691" s="66"/>
      <c r="F691" s="67"/>
      <c r="G691" s="65"/>
      <c r="H691"/>
      <c r="I691" s="68"/>
    </row>
    <row r="692" spans="1:9" s="1" customFormat="1" ht="12"/>
    <row r="693" spans="1:9" s="1" customFormat="1" ht="20.25">
      <c r="A693" s="42"/>
      <c r="B693" s="41"/>
      <c r="G693" s="43"/>
      <c r="H693" s="43"/>
      <c r="I693" s="43"/>
    </row>
    <row r="694" spans="1:9" s="1" customFormat="1" ht="20.25">
      <c r="A694" s="506"/>
      <c r="B694" s="563"/>
      <c r="C694" s="563"/>
      <c r="D694" s="147"/>
      <c r="E694" s="43"/>
      <c r="F694" s="43"/>
      <c r="G694" s="43"/>
      <c r="H694" s="43"/>
      <c r="I694" s="43"/>
    </row>
    <row r="695" spans="1:9" s="1" customFormat="1">
      <c r="A695" s="55"/>
      <c r="B695" s="55"/>
      <c r="C695" s="55"/>
      <c r="D695" s="55"/>
      <c r="E695" s="55"/>
      <c r="F695" s="55"/>
      <c r="G695" s="56"/>
      <c r="H695" s="56"/>
      <c r="I695" s="510"/>
    </row>
    <row r="696" spans="1:9" s="1" customFormat="1">
      <c r="A696" s="55"/>
      <c r="B696" s="55"/>
      <c r="C696" s="55"/>
      <c r="D696" s="55"/>
      <c r="E696" s="55"/>
      <c r="F696" s="55"/>
      <c r="G696" s="56"/>
      <c r="H696" s="56"/>
      <c r="I696" s="510"/>
    </row>
    <row r="697" spans="1:9" s="1" customFormat="1">
      <c r="A697"/>
      <c r="B697"/>
      <c r="C697"/>
      <c r="D697"/>
      <c r="E697"/>
      <c r="F697"/>
      <c r="G697"/>
      <c r="H697" s="40"/>
      <c r="I697"/>
    </row>
    <row r="698" spans="1:9" s="1" customFormat="1">
      <c r="A698"/>
      <c r="B698"/>
      <c r="C698"/>
      <c r="D698"/>
      <c r="E698"/>
      <c r="F698"/>
      <c r="G698" s="47"/>
      <c r="H698" s="57"/>
      <c r="I698" s="40"/>
    </row>
    <row r="699" spans="1:9" s="1" customFormat="1">
      <c r="A699"/>
      <c r="B699"/>
      <c r="C699"/>
      <c r="D699"/>
      <c r="E699"/>
      <c r="F699"/>
      <c r="G699" s="48"/>
      <c r="H699" s="57"/>
      <c r="I699" s="40"/>
    </row>
    <row r="700" spans="1:9" s="1" customFormat="1">
      <c r="A700"/>
      <c r="B700"/>
      <c r="C700"/>
      <c r="D700"/>
      <c r="E700"/>
      <c r="F700"/>
      <c r="G700" s="49"/>
      <c r="H700" s="57"/>
      <c r="I700" s="40"/>
    </row>
    <row r="701" spans="1:9" s="1" customFormat="1">
      <c r="A701"/>
      <c r="B701"/>
      <c r="C701"/>
      <c r="D701"/>
      <c r="E701"/>
      <c r="F701"/>
      <c r="G701" s="49"/>
      <c r="H701" s="57"/>
      <c r="I701" s="40"/>
    </row>
    <row r="702" spans="1:9" s="1" customFormat="1">
      <c r="A702"/>
      <c r="B702"/>
      <c r="C702"/>
      <c r="D702"/>
      <c r="E702"/>
      <c r="F702"/>
      <c r="G702" s="49"/>
      <c r="H702" s="57"/>
      <c r="I702" s="40"/>
    </row>
    <row r="703" spans="1:9" s="1" customFormat="1">
      <c r="A703"/>
      <c r="B703"/>
      <c r="C703"/>
      <c r="D703"/>
      <c r="E703"/>
      <c r="F703"/>
      <c r="G703" s="49"/>
      <c r="H703" s="57"/>
      <c r="I703" s="40"/>
    </row>
    <row r="704" spans="1:9" s="1" customFormat="1">
      <c r="A704"/>
      <c r="B704"/>
      <c r="C704"/>
      <c r="D704"/>
      <c r="E704"/>
      <c r="F704"/>
      <c r="G704"/>
      <c r="H704"/>
      <c r="I704"/>
    </row>
    <row r="705" spans="1:9" s="1" customFormat="1">
      <c r="A705" s="55"/>
      <c r="B705" s="55"/>
      <c r="C705" s="55"/>
      <c r="D705" s="55"/>
      <c r="E705" s="55"/>
      <c r="F705" s="55"/>
      <c r="G705" s="509"/>
      <c r="H705" s="58"/>
      <c r="I705" s="58"/>
    </row>
    <row r="706" spans="1:9" s="1" customFormat="1">
      <c r="A706" s="55"/>
      <c r="B706" s="55"/>
      <c r="C706" s="55"/>
      <c r="D706" s="55"/>
      <c r="E706" s="55"/>
      <c r="F706" s="55"/>
      <c r="G706" s="509"/>
      <c r="H706" s="58"/>
      <c r="I706" s="58"/>
    </row>
    <row r="707" spans="1:9" s="1" customFormat="1">
      <c r="A707" s="50"/>
      <c r="B707"/>
      <c r="C707" s="51"/>
      <c r="D707" s="51"/>
      <c r="E707" s="51"/>
      <c r="F707"/>
      <c r="G707" s="51"/>
      <c r="H707" s="59"/>
      <c r="I707" s="40"/>
    </row>
    <row r="708" spans="1:9" s="1" customFormat="1">
      <c r="A708"/>
      <c r="B708"/>
      <c r="C708"/>
      <c r="D708"/>
      <c r="E708"/>
      <c r="F708"/>
      <c r="G708" s="40"/>
      <c r="H708" s="40"/>
      <c r="I708" s="57"/>
    </row>
    <row r="709" spans="1:9" s="1" customFormat="1">
      <c r="A709"/>
      <c r="B709"/>
      <c r="C709"/>
      <c r="D709"/>
      <c r="E709"/>
      <c r="F709"/>
      <c r="G709" s="57"/>
      <c r="H709" s="40"/>
      <c r="I709" s="40"/>
    </row>
    <row r="710" spans="1:9" s="1" customFormat="1">
      <c r="A710"/>
      <c r="B710"/>
      <c r="C710"/>
      <c r="D710"/>
      <c r="E710"/>
      <c r="F710"/>
      <c r="G710" s="38"/>
      <c r="H710" s="40"/>
      <c r="I710" s="40"/>
    </row>
    <row r="711" spans="1:9" s="1" customFormat="1">
      <c r="A711"/>
      <c r="B711"/>
      <c r="C711"/>
      <c r="D711"/>
      <c r="E711"/>
      <c r="F711"/>
      <c r="G711" s="60"/>
      <c r="H711" s="40"/>
      <c r="I711" s="40"/>
    </row>
    <row r="712" spans="1:9" s="1" customFormat="1">
      <c r="A712"/>
      <c r="B712"/>
      <c r="C712"/>
      <c r="D712"/>
      <c r="E712"/>
      <c r="F712" s="40"/>
      <c r="G712"/>
      <c r="H712"/>
      <c r="I712"/>
    </row>
    <row r="713" spans="1:9" s="1" customFormat="1">
      <c r="A713" s="52"/>
      <c r="B713"/>
      <c r="C713"/>
      <c r="D713"/>
      <c r="E713"/>
      <c r="F713" s="40"/>
      <c r="G713"/>
      <c r="H713"/>
      <c r="I713"/>
    </row>
    <row r="714" spans="1:9" s="1" customFormat="1">
      <c r="A714"/>
      <c r="B714" s="61"/>
      <c r="C714"/>
      <c r="D714"/>
      <c r="E714"/>
      <c r="F714"/>
      <c r="G714"/>
      <c r="H714"/>
      <c r="I714"/>
    </row>
    <row r="715" spans="1:9" s="1" customFormat="1">
      <c r="A715" s="507"/>
      <c r="B715" s="62"/>
      <c r="C715" s="62"/>
      <c r="D715" s="62"/>
      <c r="E715" s="507"/>
      <c r="F715" s="507"/>
      <c r="G715" s="507"/>
      <c r="H715" s="507"/>
      <c r="I715" s="507"/>
    </row>
    <row r="716" spans="1:9" s="1" customFormat="1">
      <c r="A716" s="507"/>
      <c r="B716" s="62"/>
      <c r="C716" s="62"/>
      <c r="D716" s="62"/>
      <c r="E716" s="62"/>
      <c r="F716" s="62"/>
      <c r="G716" s="508"/>
      <c r="H716" s="508"/>
      <c r="I716" s="508"/>
    </row>
    <row r="717" spans="1:9" s="1" customFormat="1">
      <c r="A717" s="53"/>
      <c r="B717" s="63"/>
      <c r="C717" s="40"/>
      <c r="D717" s="40"/>
      <c r="E717" s="40"/>
      <c r="F717" s="54"/>
      <c r="G717" s="40"/>
      <c r="H717" s="40"/>
      <c r="I717" s="45"/>
    </row>
    <row r="718" spans="1:9" s="1" customFormat="1">
      <c r="A718" s="53"/>
      <c r="B718" s="63"/>
      <c r="C718" s="40"/>
      <c r="D718" s="40"/>
      <c r="E718" s="40"/>
      <c r="F718" s="54"/>
      <c r="G718" s="40"/>
      <c r="H718" s="44"/>
      <c r="I718" s="45"/>
    </row>
    <row r="719" spans="1:9" s="1" customFormat="1">
      <c r="A719" s="53"/>
      <c r="B719" s="63"/>
      <c r="C719" s="40"/>
      <c r="D719" s="40"/>
      <c r="E719" s="40"/>
      <c r="F719" s="54"/>
      <c r="G719" s="40"/>
      <c r="H719" s="44"/>
      <c r="I719"/>
    </row>
    <row r="720" spans="1:9" s="1" customFormat="1">
      <c r="A720" s="53"/>
      <c r="B720" s="63"/>
      <c r="C720" s="40"/>
      <c r="D720" s="40"/>
      <c r="E720" s="40"/>
      <c r="F720" s="54"/>
      <c r="G720" s="40"/>
      <c r="H720" s="44"/>
      <c r="I720" s="45"/>
    </row>
    <row r="721" spans="1:9" s="1" customFormat="1">
      <c r="A721" s="53"/>
      <c r="B721" s="64"/>
      <c r="C721" s="40"/>
      <c r="D721" s="40"/>
      <c r="E721" s="40"/>
      <c r="F721" s="54"/>
      <c r="G721" s="40"/>
      <c r="H721" s="44"/>
      <c r="I721" s="45"/>
    </row>
    <row r="722" spans="1:9" s="1" customFormat="1">
      <c r="A722" s="53"/>
      <c r="B722" s="64"/>
      <c r="C722" s="40"/>
      <c r="D722" s="40"/>
      <c r="E722" s="40"/>
      <c r="F722" s="54"/>
      <c r="G722" s="40"/>
      <c r="H722" s="44"/>
      <c r="I722" s="45"/>
    </row>
    <row r="723" spans="1:9" s="1" customFormat="1">
      <c r="A723" s="53"/>
      <c r="B723" s="64"/>
      <c r="C723" s="40"/>
      <c r="D723" s="40"/>
      <c r="E723" s="40"/>
      <c r="F723" s="54"/>
      <c r="G723" s="40"/>
      <c r="H723" s="44"/>
      <c r="I723" s="45"/>
    </row>
    <row r="724" spans="1:9" s="1" customFormat="1">
      <c r="A724" s="53"/>
      <c r="B724" s="64"/>
      <c r="C724" s="40"/>
      <c r="D724" s="40"/>
      <c r="E724" s="40"/>
      <c r="F724" s="54"/>
      <c r="G724" s="40"/>
      <c r="H724" s="44"/>
      <c r="I724" s="45"/>
    </row>
    <row r="725" spans="1:9" s="1" customFormat="1">
      <c r="A725" s="53"/>
      <c r="B725" s="64"/>
      <c r="C725" s="40"/>
      <c r="D725" s="40"/>
      <c r="E725" s="40"/>
      <c r="F725" s="54"/>
      <c r="G725" s="40"/>
      <c r="H725" s="44"/>
      <c r="I725" s="45"/>
    </row>
    <row r="726" spans="1:9" s="1" customFormat="1">
      <c r="A726" s="53"/>
      <c r="B726" s="64"/>
      <c r="C726" s="40"/>
      <c r="D726" s="40"/>
      <c r="E726" s="40"/>
      <c r="F726" s="54"/>
      <c r="G726" s="40"/>
      <c r="H726" s="44"/>
      <c r="I726" s="45"/>
    </row>
    <row r="727" spans="1:9" s="1" customFormat="1">
      <c r="A727" s="53"/>
      <c r="B727" s="64"/>
      <c r="C727" s="40"/>
      <c r="D727" s="40"/>
      <c r="E727" s="40"/>
      <c r="F727" s="54"/>
      <c r="G727" s="40"/>
      <c r="H727" s="44"/>
      <c r="I727" s="45"/>
    </row>
    <row r="728" spans="1:9" s="1" customFormat="1">
      <c r="A728" s="53"/>
      <c r="B728" s="64"/>
      <c r="C728" s="40"/>
      <c r="D728" s="40"/>
      <c r="E728" s="40"/>
      <c r="F728" s="54"/>
      <c r="G728" s="40"/>
      <c r="H728" s="44"/>
      <c r="I728" s="45"/>
    </row>
    <row r="729" spans="1:9" s="1" customFormat="1">
      <c r="A729" s="53"/>
      <c r="B729" s="64"/>
      <c r="C729" s="40"/>
      <c r="D729" s="40"/>
      <c r="E729" s="40"/>
      <c r="F729" s="54"/>
      <c r="G729" s="40"/>
      <c r="H729" s="44"/>
      <c r="I729" s="45"/>
    </row>
    <row r="730" spans="1:9" s="1" customFormat="1">
      <c r="A730" s="53"/>
      <c r="B730" s="64"/>
      <c r="C730" s="40"/>
      <c r="D730" s="40"/>
      <c r="E730" s="40"/>
      <c r="F730" s="54"/>
      <c r="G730" s="40"/>
      <c r="H730" s="44"/>
      <c r="I730" s="45"/>
    </row>
    <row r="731" spans="1:9" s="1" customFormat="1">
      <c r="A731" s="53"/>
      <c r="B731" s="64"/>
      <c r="C731" s="40"/>
      <c r="D731" s="40"/>
      <c r="E731" s="40"/>
      <c r="F731" s="54"/>
      <c r="G731" s="40"/>
      <c r="H731" s="44"/>
      <c r="I731" s="45"/>
    </row>
    <row r="732" spans="1:9" s="1" customFormat="1">
      <c r="A732" s="53"/>
      <c r="B732" s="64"/>
      <c r="C732" s="40"/>
      <c r="D732" s="40"/>
      <c r="E732" s="40"/>
      <c r="F732" s="54"/>
      <c r="G732" s="40"/>
      <c r="H732" s="44"/>
      <c r="I732" s="45"/>
    </row>
    <row r="733" spans="1:9" s="1" customFormat="1">
      <c r="A733" s="53"/>
      <c r="B733" s="64"/>
      <c r="C733" s="40"/>
      <c r="D733" s="40"/>
      <c r="E733" s="40"/>
      <c r="F733" s="54"/>
      <c r="G733" s="40"/>
      <c r="H733" s="44"/>
      <c r="I733" s="45"/>
    </row>
    <row r="734" spans="1:9" s="1" customFormat="1">
      <c r="A734" s="53"/>
      <c r="B734" s="64"/>
      <c r="C734" s="40"/>
      <c r="D734" s="40"/>
      <c r="E734" s="40"/>
      <c r="F734" s="54"/>
      <c r="G734" s="40"/>
      <c r="H734" s="44"/>
      <c r="I734" s="45"/>
    </row>
    <row r="735" spans="1:9" s="1" customFormat="1">
      <c r="A735" s="53"/>
      <c r="B735" s="64"/>
      <c r="C735" s="40"/>
      <c r="D735" s="40"/>
      <c r="E735" s="40"/>
      <c r="F735" s="54"/>
      <c r="G735" s="40"/>
      <c r="H735" s="44"/>
      <c r="I735" s="45"/>
    </row>
    <row r="736" spans="1:9" s="1" customFormat="1">
      <c r="A736" s="53"/>
      <c r="B736" s="64"/>
      <c r="C736" s="40"/>
      <c r="D736" s="40"/>
      <c r="E736" s="40"/>
      <c r="F736" s="54"/>
      <c r="G736" s="40"/>
      <c r="H736" s="44"/>
      <c r="I736" s="45"/>
    </row>
    <row r="737" spans="1:9" s="1" customFormat="1">
      <c r="A737" s="53"/>
      <c r="B737" s="64"/>
      <c r="C737" s="40"/>
      <c r="D737" s="40"/>
      <c r="E737" s="40"/>
      <c r="F737" s="54"/>
      <c r="G737" s="40"/>
      <c r="H737" s="44"/>
      <c r="I737" s="45"/>
    </row>
    <row r="738" spans="1:9" s="1" customFormat="1">
      <c r="A738" s="53"/>
      <c r="B738" s="64"/>
      <c r="C738" s="40"/>
      <c r="D738" s="40"/>
      <c r="E738" s="40"/>
      <c r="F738" s="54"/>
      <c r="G738" s="40"/>
      <c r="H738" s="44"/>
      <c r="I738" s="45"/>
    </row>
    <row r="739" spans="1:9" s="1" customFormat="1">
      <c r="A739" s="53"/>
      <c r="B739" s="64"/>
      <c r="C739" s="40"/>
      <c r="D739" s="40"/>
      <c r="E739" s="40"/>
      <c r="F739" s="54"/>
      <c r="G739" s="40"/>
      <c r="H739" s="44"/>
      <c r="I739" s="45"/>
    </row>
    <row r="740" spans="1:9" s="1" customFormat="1">
      <c r="A740" s="53"/>
      <c r="B740" s="64"/>
      <c r="C740" s="40"/>
      <c r="D740" s="40"/>
      <c r="E740" s="40"/>
      <c r="F740" s="54"/>
      <c r="G740" s="40"/>
      <c r="H740" s="44"/>
      <c r="I740" s="45"/>
    </row>
    <row r="741" spans="1:9" s="1" customFormat="1">
      <c r="A741" s="53"/>
      <c r="B741" s="64"/>
      <c r="C741" s="40"/>
      <c r="D741" s="40"/>
      <c r="E741" s="40"/>
      <c r="F741" s="54"/>
      <c r="G741" s="40"/>
      <c r="H741" s="44"/>
      <c r="I741" s="45"/>
    </row>
    <row r="742" spans="1:9" s="1" customFormat="1">
      <c r="A742" s="69"/>
      <c r="B742" s="46"/>
      <c r="C742" s="46"/>
      <c r="D742" s="46"/>
      <c r="E742" s="46"/>
      <c r="F742" s="46"/>
      <c r="G742" s="46"/>
      <c r="H742" s="46"/>
      <c r="I742" s="46"/>
    </row>
    <row r="743" spans="1:9" s="1" customFormat="1">
      <c r="A743"/>
      <c r="B743" s="40"/>
      <c r="C743" s="40"/>
      <c r="D743" s="40"/>
      <c r="E743" s="40"/>
      <c r="F743"/>
      <c r="G743"/>
      <c r="H743"/>
      <c r="I743"/>
    </row>
    <row r="744" spans="1:9" s="1" customFormat="1">
      <c r="A744"/>
      <c r="B744"/>
      <c r="C744" s="65"/>
      <c r="D744" s="65"/>
      <c r="E744" s="66"/>
      <c r="F744" s="67"/>
      <c r="G744" s="65"/>
      <c r="H744"/>
      <c r="I744" s="68"/>
    </row>
    <row r="745" spans="1:9" s="1" customFormat="1" ht="12"/>
  </sheetData>
  <mergeCells count="89">
    <mergeCell ref="G221:G222"/>
    <mergeCell ref="B3:C3"/>
    <mergeCell ref="E3:F3"/>
    <mergeCell ref="G3:H3"/>
    <mergeCell ref="I3:J3"/>
    <mergeCell ref="O3:P3"/>
    <mergeCell ref="Q3:R3"/>
    <mergeCell ref="S3:T3"/>
    <mergeCell ref="A210:C210"/>
    <mergeCell ref="I211:I212"/>
    <mergeCell ref="K3:L3"/>
    <mergeCell ref="M3:N3"/>
    <mergeCell ref="H231:H232"/>
    <mergeCell ref="I231:I232"/>
    <mergeCell ref="I265:I266"/>
    <mergeCell ref="G275:G276"/>
    <mergeCell ref="A285:A286"/>
    <mergeCell ref="E285:F285"/>
    <mergeCell ref="G285:G286"/>
    <mergeCell ref="H285:H286"/>
    <mergeCell ref="I285:I286"/>
    <mergeCell ref="A264:C264"/>
    <mergeCell ref="A231:A232"/>
    <mergeCell ref="E231:F231"/>
    <mergeCell ref="G231:G232"/>
    <mergeCell ref="A319:C319"/>
    <mergeCell ref="I320:I321"/>
    <mergeCell ref="G330:G331"/>
    <mergeCell ref="A340:A341"/>
    <mergeCell ref="E340:F340"/>
    <mergeCell ref="G340:G341"/>
    <mergeCell ref="H340:H341"/>
    <mergeCell ref="I340:I341"/>
    <mergeCell ref="A372:C372"/>
    <mergeCell ref="I373:I374"/>
    <mergeCell ref="G383:G384"/>
    <mergeCell ref="A393:A394"/>
    <mergeCell ref="E393:F393"/>
    <mergeCell ref="G393:G394"/>
    <mergeCell ref="H393:H394"/>
    <mergeCell ref="I393:I394"/>
    <mergeCell ref="A426:C426"/>
    <mergeCell ref="I427:I428"/>
    <mergeCell ref="G437:G438"/>
    <mergeCell ref="A447:A448"/>
    <mergeCell ref="E447:F447"/>
    <mergeCell ref="G447:G448"/>
    <mergeCell ref="H447:H448"/>
    <mergeCell ref="I447:I448"/>
    <mergeCell ref="A480:C480"/>
    <mergeCell ref="I481:I482"/>
    <mergeCell ref="G491:G492"/>
    <mergeCell ref="A501:A502"/>
    <mergeCell ref="E501:F501"/>
    <mergeCell ref="G501:G502"/>
    <mergeCell ref="H501:H502"/>
    <mergeCell ref="I501:I502"/>
    <mergeCell ref="A534:C534"/>
    <mergeCell ref="I535:I536"/>
    <mergeCell ref="G545:G546"/>
    <mergeCell ref="A555:A556"/>
    <mergeCell ref="E555:F555"/>
    <mergeCell ref="G555:G556"/>
    <mergeCell ref="H555:H556"/>
    <mergeCell ref="I555:I556"/>
    <mergeCell ref="A588:C588"/>
    <mergeCell ref="I589:I590"/>
    <mergeCell ref="G599:G600"/>
    <mergeCell ref="A609:A610"/>
    <mergeCell ref="E609:F609"/>
    <mergeCell ref="G609:G610"/>
    <mergeCell ref="H609:H610"/>
    <mergeCell ref="I609:I610"/>
    <mergeCell ref="A641:C641"/>
    <mergeCell ref="I642:I643"/>
    <mergeCell ref="G652:G653"/>
    <mergeCell ref="A662:A663"/>
    <mergeCell ref="E662:F662"/>
    <mergeCell ref="G662:G663"/>
    <mergeCell ref="H662:H663"/>
    <mergeCell ref="I662:I663"/>
    <mergeCell ref="A694:C694"/>
    <mergeCell ref="I695:I696"/>
    <mergeCell ref="G705:G706"/>
    <mergeCell ref="A715:A716"/>
    <mergeCell ref="E715:F715"/>
    <mergeCell ref="G715:G716"/>
    <mergeCell ref="H715:H716"/>
    <mergeCell ref="I715:I716"/>
  </mergeCells>
  <pageMargins left="0.75" right="0.75" top="1" bottom="1" header="0.5" footer="0.5"/>
  <pageSetup paperSize="8" scale="30" pageOrder="overThenDown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AI745"/>
  <sheetViews>
    <sheetView showGridLines="0" zoomScaleNormal="100" workbookViewId="0">
      <pane ySplit="5" topLeftCell="A164" activePane="bottomLeft" state="frozen"/>
      <selection activeCell="E103" sqref="E103"/>
      <selection pane="bottomLeft" activeCell="C198" sqref="C198"/>
    </sheetView>
  </sheetViews>
  <sheetFormatPr defaultRowHeight="12.75" outlineLevelCol="1"/>
  <cols>
    <col min="1" max="1" width="10.42578125" bestFit="1" customWidth="1"/>
    <col min="2" max="2" width="57.7109375" style="21" customWidth="1"/>
    <col min="3" max="3" width="11.42578125" style="22" bestFit="1" customWidth="1"/>
    <col min="4" max="4" width="10.5703125" style="22" bestFit="1" customWidth="1"/>
    <col min="5" max="5" width="14.42578125" bestFit="1" customWidth="1"/>
    <col min="6" max="7" width="12.28515625" customWidth="1"/>
    <col min="8" max="8" width="11.85546875" customWidth="1"/>
    <col min="9" max="9" width="12.28515625" customWidth="1"/>
    <col min="10" max="13" width="12.28515625" customWidth="1" outlineLevel="1"/>
    <col min="14" max="14" width="12.28515625" customWidth="1"/>
    <col min="15" max="18" width="12.28515625" customWidth="1" outlineLevel="1"/>
    <col min="19" max="19" width="12.28515625" customWidth="1"/>
    <col min="20" max="20" width="12.28515625" customWidth="1" outlineLevel="1"/>
  </cols>
  <sheetData>
    <row r="2" spans="1:21">
      <c r="E2" s="135">
        <v>0</v>
      </c>
      <c r="F2" s="135">
        <f t="shared" ref="F2:T2" si="0">E2+1</f>
        <v>1</v>
      </c>
      <c r="G2" s="135">
        <f t="shared" si="0"/>
        <v>2</v>
      </c>
      <c r="H2" s="135">
        <f t="shared" si="0"/>
        <v>3</v>
      </c>
      <c r="I2" s="135">
        <f t="shared" si="0"/>
        <v>4</v>
      </c>
      <c r="J2" s="135">
        <f t="shared" si="0"/>
        <v>5</v>
      </c>
      <c r="K2" s="135">
        <f t="shared" si="0"/>
        <v>6</v>
      </c>
      <c r="L2" s="135">
        <f t="shared" si="0"/>
        <v>7</v>
      </c>
      <c r="M2" s="135">
        <f t="shared" si="0"/>
        <v>8</v>
      </c>
      <c r="N2" s="135">
        <f t="shared" si="0"/>
        <v>9</v>
      </c>
      <c r="O2" s="135">
        <f t="shared" si="0"/>
        <v>10</v>
      </c>
      <c r="P2" s="135">
        <f t="shared" si="0"/>
        <v>11</v>
      </c>
      <c r="Q2" s="135">
        <f t="shared" si="0"/>
        <v>12</v>
      </c>
      <c r="R2" s="135">
        <f t="shared" si="0"/>
        <v>13</v>
      </c>
      <c r="S2" s="135">
        <f t="shared" si="0"/>
        <v>14</v>
      </c>
      <c r="T2" s="135">
        <f t="shared" si="0"/>
        <v>15</v>
      </c>
    </row>
    <row r="3" spans="1:21">
      <c r="A3" s="1"/>
      <c r="B3" s="564" t="s">
        <v>390</v>
      </c>
      <c r="C3" s="564"/>
      <c r="D3" s="246"/>
      <c r="E3" s="564"/>
      <c r="F3" s="564"/>
      <c r="G3" s="564"/>
      <c r="H3" s="564"/>
      <c r="I3" s="564"/>
      <c r="J3" s="564"/>
      <c r="K3" s="564"/>
      <c r="L3" s="564"/>
      <c r="M3" s="564"/>
      <c r="N3" s="564"/>
      <c r="O3" s="564"/>
      <c r="P3" s="564"/>
      <c r="Q3" s="564"/>
      <c r="R3" s="564"/>
      <c r="S3" s="564"/>
      <c r="T3" s="564"/>
      <c r="U3" s="1"/>
    </row>
    <row r="4" spans="1:21">
      <c r="A4" s="1"/>
      <c r="B4" s="86"/>
      <c r="C4" s="71"/>
      <c r="D4" s="71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"/>
    </row>
    <row r="5" spans="1:21">
      <c r="A5" s="1"/>
      <c r="B5" s="247" t="s">
        <v>12</v>
      </c>
      <c r="C5" s="248" t="s">
        <v>241</v>
      </c>
      <c r="D5" s="248" t="s">
        <v>14</v>
      </c>
      <c r="E5" s="249">
        <f>Założenia!E6</f>
        <v>2024</v>
      </c>
      <c r="F5" s="250">
        <f t="shared" ref="F5:T5" si="1">E5+1</f>
        <v>2025</v>
      </c>
      <c r="G5" s="250">
        <f t="shared" si="1"/>
        <v>2026</v>
      </c>
      <c r="H5" s="250">
        <f t="shared" si="1"/>
        <v>2027</v>
      </c>
      <c r="I5" s="250">
        <f t="shared" si="1"/>
        <v>2028</v>
      </c>
      <c r="J5" s="250">
        <f t="shared" si="1"/>
        <v>2029</v>
      </c>
      <c r="K5" s="250">
        <f t="shared" si="1"/>
        <v>2030</v>
      </c>
      <c r="L5" s="250">
        <f t="shared" si="1"/>
        <v>2031</v>
      </c>
      <c r="M5" s="250">
        <f t="shared" si="1"/>
        <v>2032</v>
      </c>
      <c r="N5" s="250">
        <f t="shared" si="1"/>
        <v>2033</v>
      </c>
      <c r="O5" s="250">
        <f t="shared" si="1"/>
        <v>2034</v>
      </c>
      <c r="P5" s="250">
        <f t="shared" si="1"/>
        <v>2035</v>
      </c>
      <c r="Q5" s="250">
        <f t="shared" si="1"/>
        <v>2036</v>
      </c>
      <c r="R5" s="250">
        <f t="shared" si="1"/>
        <v>2037</v>
      </c>
      <c r="S5" s="250">
        <f t="shared" si="1"/>
        <v>2038</v>
      </c>
      <c r="T5" s="250">
        <f t="shared" si="1"/>
        <v>2039</v>
      </c>
      <c r="U5" s="1"/>
    </row>
    <row r="6" spans="1:21">
      <c r="A6" s="1"/>
      <c r="B6" s="86"/>
      <c r="C6" s="71"/>
      <c r="D6" s="7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>
      <c r="A7" s="1"/>
      <c r="B7" s="86"/>
      <c r="C7" s="71"/>
      <c r="D7" s="71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"/>
    </row>
    <row r="8" spans="1:21" s="1" customFormat="1" ht="12">
      <c r="A8" s="227" t="s">
        <v>249</v>
      </c>
      <c r="B8" s="81" t="s">
        <v>280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1" s="23" customFormat="1">
      <c r="A9" s="37" t="s">
        <v>33</v>
      </c>
      <c r="B9" s="251" t="s">
        <v>303</v>
      </c>
      <c r="C9" s="175" t="s">
        <v>0</v>
      </c>
      <c r="D9" s="252"/>
      <c r="E9" s="107">
        <f>przychody!D7*1000000</f>
        <v>599333.30000000005</v>
      </c>
      <c r="F9" s="107">
        <f>przychody!E7*1000000</f>
        <v>601373.4</v>
      </c>
      <c r="G9" s="107">
        <f>przychody!F7*1000000</f>
        <v>602630.1</v>
      </c>
      <c r="H9" s="107">
        <f>przychody!G7*1000000</f>
        <v>603886.82250557176</v>
      </c>
      <c r="I9" s="107">
        <f>przychody!H7*1000000</f>
        <v>605143.54501114355</v>
      </c>
      <c r="J9" s="107">
        <f>przychody!I7*1000000</f>
        <v>606400.26751671534</v>
      </c>
      <c r="K9" s="107">
        <f>przychody!J7*1000000</f>
        <v>607656.99002228701</v>
      </c>
      <c r="L9" s="107">
        <f>przychody!K7*1000000</f>
        <v>608510.54109203175</v>
      </c>
      <c r="M9" s="107">
        <f>przychody!L7*1000000</f>
        <v>609364.31589731248</v>
      </c>
      <c r="N9" s="107">
        <f>przychody!M7*1000000</f>
        <v>610218.09070259321</v>
      </c>
      <c r="O9" s="107">
        <f>przychody!N7*1000000</f>
        <v>611071.64177233796</v>
      </c>
      <c r="P9" s="107">
        <f>przychody!O7*1000000</f>
        <v>611925.41657761869</v>
      </c>
      <c r="Q9" s="107">
        <f>przychody!P7*1000000</f>
        <v>612779.19138289941</v>
      </c>
      <c r="R9" s="107">
        <f>przychody!Q7*1000000</f>
        <v>613632.96618818014</v>
      </c>
      <c r="S9" s="107">
        <f>przychody!R7*1000000</f>
        <v>614486.51725792489</v>
      </c>
      <c r="T9" s="107">
        <f>przychody!S7*1000000</f>
        <v>615340.29206320562</v>
      </c>
      <c r="U9" s="11"/>
    </row>
    <row r="10" spans="1:21" s="23" customFormat="1">
      <c r="A10" s="37" t="s">
        <v>34</v>
      </c>
      <c r="B10" s="251" t="s">
        <v>74</v>
      </c>
      <c r="C10" s="175" t="s">
        <v>0</v>
      </c>
      <c r="D10" s="252"/>
      <c r="E10" s="107">
        <f t="shared" ref="E10:T10" si="2">E11+E39</f>
        <v>6974645.0545906974</v>
      </c>
      <c r="F10" s="107">
        <f t="shared" si="2"/>
        <v>6989704.8602757547</v>
      </c>
      <c r="G10" s="107">
        <f t="shared" si="2"/>
        <v>6985185.9101311984</v>
      </c>
      <c r="H10" s="107">
        <f t="shared" si="2"/>
        <v>7053114.2136165304</v>
      </c>
      <c r="I10" s="107">
        <f t="shared" si="2"/>
        <v>7085866.6520932717</v>
      </c>
      <c r="J10" s="107">
        <f t="shared" si="2"/>
        <v>7118619.0905700112</v>
      </c>
      <c r="K10" s="107">
        <f t="shared" si="2"/>
        <v>7109626.0684606349</v>
      </c>
      <c r="L10" s="107">
        <f t="shared" si="2"/>
        <v>7142106.704569784</v>
      </c>
      <c r="M10" s="107">
        <f t="shared" si="2"/>
        <v>7174587.3406789331</v>
      </c>
      <c r="N10" s="107">
        <f t="shared" si="2"/>
        <v>7207067.9767880822</v>
      </c>
      <c r="O10" s="107">
        <f t="shared" si="2"/>
        <v>7239548.6128972312</v>
      </c>
      <c r="P10" s="107">
        <f t="shared" si="2"/>
        <v>7132826.5228243126</v>
      </c>
      <c r="Q10" s="107">
        <f t="shared" si="2"/>
        <v>7165307.1589334616</v>
      </c>
      <c r="R10" s="107">
        <f t="shared" si="2"/>
        <v>7154480.2802304113</v>
      </c>
      <c r="S10" s="107">
        <f t="shared" si="2"/>
        <v>7186960.9163395623</v>
      </c>
      <c r="T10" s="107">
        <f t="shared" si="2"/>
        <v>7163760.4619758828</v>
      </c>
      <c r="U10" s="11"/>
    </row>
    <row r="11" spans="1:21" s="23" customFormat="1">
      <c r="A11" s="37" t="s">
        <v>350</v>
      </c>
      <c r="B11" s="251" t="s">
        <v>349</v>
      </c>
      <c r="C11" s="175"/>
      <c r="D11" s="252"/>
      <c r="E11" s="107">
        <f t="shared" ref="E11:T11" si="3">E12+E32+E34+E35+E36+E33</f>
        <v>6009751.2628066977</v>
      </c>
      <c r="F11" s="107">
        <f t="shared" si="3"/>
        <v>6024811.0684917551</v>
      </c>
      <c r="G11" s="107">
        <f t="shared" si="3"/>
        <v>6020292.1183471987</v>
      </c>
      <c r="H11" s="107">
        <f t="shared" si="3"/>
        <v>6088220.4218325308</v>
      </c>
      <c r="I11" s="107">
        <f t="shared" si="3"/>
        <v>6120972.8603092721</v>
      </c>
      <c r="J11" s="107">
        <f t="shared" si="3"/>
        <v>6153725.2987860115</v>
      </c>
      <c r="K11" s="107">
        <f t="shared" si="3"/>
        <v>6144732.2766766353</v>
      </c>
      <c r="L11" s="107">
        <f t="shared" si="3"/>
        <v>6177212.9127857843</v>
      </c>
      <c r="M11" s="107">
        <f t="shared" si="3"/>
        <v>6209693.5488949334</v>
      </c>
      <c r="N11" s="107">
        <f t="shared" si="3"/>
        <v>6242174.1850040825</v>
      </c>
      <c r="O11" s="107">
        <f t="shared" si="3"/>
        <v>6274654.8211132316</v>
      </c>
      <c r="P11" s="107">
        <f t="shared" si="3"/>
        <v>6167932.7310403129</v>
      </c>
      <c r="Q11" s="107">
        <f t="shared" si="3"/>
        <v>6200413.367149462</v>
      </c>
      <c r="R11" s="107">
        <f t="shared" si="3"/>
        <v>6189586.4884464117</v>
      </c>
      <c r="S11" s="107">
        <f t="shared" si="3"/>
        <v>6222067.1245555626</v>
      </c>
      <c r="T11" s="107">
        <f t="shared" si="3"/>
        <v>6198866.6701918831</v>
      </c>
      <c r="U11" s="11"/>
    </row>
    <row r="12" spans="1:21" s="11" customFormat="1" ht="12">
      <c r="A12" s="37" t="s">
        <v>48</v>
      </c>
      <c r="B12" s="101" t="s">
        <v>78</v>
      </c>
      <c r="C12" s="253" t="s">
        <v>0</v>
      </c>
      <c r="D12" s="254"/>
      <c r="E12" s="19">
        <f t="shared" ref="E12:T12" si="4">E13+E15+E23</f>
        <v>2006808.1201873822</v>
      </c>
      <c r="F12" s="19">
        <f t="shared" si="4"/>
        <v>2006501.2710360459</v>
      </c>
      <c r="G12" s="19">
        <f t="shared" si="4"/>
        <v>2024484.5974277866</v>
      </c>
      <c r="H12" s="19">
        <f t="shared" si="4"/>
        <v>2185283.2636494082</v>
      </c>
      <c r="I12" s="19">
        <f t="shared" si="4"/>
        <v>2201847.5944153257</v>
      </c>
      <c r="J12" s="19">
        <f t="shared" si="4"/>
        <v>2218411.9251812431</v>
      </c>
      <c r="K12" s="19">
        <f t="shared" si="4"/>
        <v>2210346.2635209998</v>
      </c>
      <c r="L12" s="19">
        <f t="shared" si="4"/>
        <v>2226910.5942869172</v>
      </c>
      <c r="M12" s="19">
        <f t="shared" si="4"/>
        <v>2243474.9250528347</v>
      </c>
      <c r="N12" s="19">
        <f t="shared" si="4"/>
        <v>2260039.2558187526</v>
      </c>
      <c r="O12" s="19">
        <f t="shared" si="4"/>
        <v>2276603.58658467</v>
      </c>
      <c r="P12" s="19">
        <f t="shared" si="4"/>
        <v>2222177.9283537981</v>
      </c>
      <c r="Q12" s="19">
        <f t="shared" si="4"/>
        <v>2238742.2591197155</v>
      </c>
      <c r="R12" s="19">
        <f t="shared" si="4"/>
        <v>2233220.8155310764</v>
      </c>
      <c r="S12" s="19">
        <f t="shared" si="4"/>
        <v>2249785.1462969938</v>
      </c>
      <c r="T12" s="19">
        <f t="shared" si="4"/>
        <v>2237953.4814641955</v>
      </c>
    </row>
    <row r="13" spans="1:21" s="1" customFormat="1" ht="12">
      <c r="A13" s="82" t="s">
        <v>55</v>
      </c>
      <c r="B13" s="93" t="s">
        <v>281</v>
      </c>
      <c r="C13" s="175" t="s">
        <v>0</v>
      </c>
      <c r="D13" s="252"/>
      <c r="E13" s="20">
        <f>E14</f>
        <v>182831.56</v>
      </c>
      <c r="F13" s="20">
        <f t="shared" ref="F13:T13" si="5">F14</f>
        <v>182831.56</v>
      </c>
      <c r="G13" s="20">
        <f t="shared" si="5"/>
        <v>182831.56</v>
      </c>
      <c r="H13" s="20">
        <f t="shared" si="5"/>
        <v>803694.89010504168</v>
      </c>
      <c r="I13" s="20">
        <f t="shared" si="5"/>
        <v>803694.89010504168</v>
      </c>
      <c r="J13" s="20">
        <f t="shared" si="5"/>
        <v>803694.89010504168</v>
      </c>
      <c r="K13" s="20">
        <f t="shared" si="5"/>
        <v>803694.89010504168</v>
      </c>
      <c r="L13" s="20">
        <f t="shared" si="5"/>
        <v>803694.89010504168</v>
      </c>
      <c r="M13" s="20">
        <f t="shared" si="5"/>
        <v>803694.89010504168</v>
      </c>
      <c r="N13" s="20">
        <f t="shared" si="5"/>
        <v>803694.89010504168</v>
      </c>
      <c r="O13" s="20">
        <f t="shared" si="5"/>
        <v>803694.89010504168</v>
      </c>
      <c r="P13" s="20">
        <f t="shared" si="5"/>
        <v>803694.89010504168</v>
      </c>
      <c r="Q13" s="20">
        <f t="shared" si="5"/>
        <v>803694.89010504168</v>
      </c>
      <c r="R13" s="20">
        <f t="shared" si="5"/>
        <v>803694.89010504168</v>
      </c>
      <c r="S13" s="20">
        <f t="shared" si="5"/>
        <v>803694.89010504168</v>
      </c>
      <c r="T13" s="20">
        <f t="shared" si="5"/>
        <v>803694.89010504168</v>
      </c>
    </row>
    <row r="14" spans="1:21" s="25" customFormat="1" ht="12">
      <c r="A14" s="82"/>
      <c r="B14" s="93" t="s">
        <v>229</v>
      </c>
      <c r="C14" s="175"/>
      <c r="D14" s="252"/>
      <c r="E14" s="20">
        <f>Założenia!D321*Założenia!D343*Założenia!$E$166*Założenia!$E$154+Założenia!D331*Założenia!D346*Założenia!$E$167*Założenia!$E$154</f>
        <v>182831.56</v>
      </c>
      <c r="F14" s="20">
        <f>Założenia!E321*Założenia!E343*Założenia!$E$166*Założenia!$E$154+Założenia!E331*Założenia!E346*Założenia!$E$167*Założenia!$E$154</f>
        <v>182831.56</v>
      </c>
      <c r="G14" s="20">
        <f>Założenia!F321*Założenia!F343*Założenia!$E$166*Założenia!$E$154+Założenia!F331*Założenia!F346*Założenia!$E$167*Założenia!$E$154</f>
        <v>182831.56</v>
      </c>
      <c r="H14" s="20">
        <f>Założenia!G321*Założenia!G343*Założenia!$E$166*Założenia!$E$154+Założenia!G331*Założenia!G346*Założenia!$E$167*Założenia!$E$154</f>
        <v>803694.89010504168</v>
      </c>
      <c r="I14" s="20">
        <f>Założenia!H321*Założenia!H343*Założenia!$E$166*Założenia!$E$154+Założenia!H331*Założenia!H346*Założenia!$E$167*Założenia!$E$154</f>
        <v>803694.89010504168</v>
      </c>
      <c r="J14" s="20">
        <f>Założenia!I321*Założenia!I343*Założenia!$E$166*Założenia!$E$154+Założenia!I331*Założenia!I346*Założenia!$E$167*Założenia!$E$154</f>
        <v>803694.89010504168</v>
      </c>
      <c r="K14" s="20">
        <f>Założenia!J321*Założenia!J343*Założenia!$E$166*Założenia!$E$154+Założenia!J331*Założenia!J346*Założenia!$E$167*Założenia!$E$154</f>
        <v>803694.89010504168</v>
      </c>
      <c r="L14" s="20">
        <f>Założenia!K321*Założenia!K343*Założenia!$E$166*Założenia!$E$154+Założenia!K331*Założenia!K346*Założenia!$E$167*Założenia!$E$154</f>
        <v>803694.89010504168</v>
      </c>
      <c r="M14" s="20">
        <f>Założenia!L321*Założenia!L343*Założenia!$E$166*Założenia!$E$154+Założenia!L331*Założenia!L346*Założenia!$E$167*Założenia!$E$154</f>
        <v>803694.89010504168</v>
      </c>
      <c r="N14" s="20">
        <f>Założenia!M321*Założenia!M343*Założenia!$E$166*Założenia!$E$154+Założenia!M331*Założenia!M346*Założenia!$E$167*Założenia!$E$154</f>
        <v>803694.89010504168</v>
      </c>
      <c r="O14" s="20">
        <f>Założenia!N321*Założenia!N343*Założenia!$E$166*Założenia!$E$154+Założenia!N331*Założenia!N346*Założenia!$E$167*Założenia!$E$154</f>
        <v>803694.89010504168</v>
      </c>
      <c r="P14" s="20">
        <f>Założenia!O321*Założenia!O343*Założenia!$E$166*Założenia!$E$154+Założenia!O331*Założenia!O346*Założenia!$E$167*Założenia!$E$154</f>
        <v>803694.89010504168</v>
      </c>
      <c r="Q14" s="20">
        <f>Założenia!P321*Założenia!P343*Założenia!$E$166*Założenia!$E$154+Założenia!P331*Założenia!P346*Założenia!$E$167*Założenia!$E$154</f>
        <v>803694.89010504168</v>
      </c>
      <c r="R14" s="20">
        <f>Założenia!Q321*Założenia!Q343*Założenia!$E$166*Założenia!$E$154+Założenia!Q331*Założenia!Q346*Założenia!$E$167*Założenia!$E$154</f>
        <v>803694.89010504168</v>
      </c>
      <c r="S14" s="20">
        <f>Założenia!R321*Założenia!R343*Założenia!$E$166*Założenia!$E$154+Założenia!R331*Założenia!R346*Założenia!$E$167*Założenia!$E$154</f>
        <v>803694.89010504168</v>
      </c>
      <c r="T14" s="20">
        <f>Założenia!S321*Założenia!S343*Założenia!$E$166*Założenia!$E$154+Założenia!S331*Założenia!S346*Założenia!$E$167*Założenia!$E$154</f>
        <v>803694.89010504168</v>
      </c>
      <c r="U14" s="1"/>
    </row>
    <row r="15" spans="1:21" s="1" customFormat="1" ht="12">
      <c r="A15" s="82" t="s">
        <v>56</v>
      </c>
      <c r="B15" s="93" t="s">
        <v>206</v>
      </c>
      <c r="C15" s="175" t="s">
        <v>0</v>
      </c>
      <c r="D15" s="252"/>
      <c r="E15" s="20">
        <f>E16</f>
        <v>1460540.8616844919</v>
      </c>
      <c r="F15" s="20">
        <f t="shared" ref="F15:T15" si="6">F16</f>
        <v>1446019.8568094918</v>
      </c>
      <c r="G15" s="20">
        <f t="shared" si="6"/>
        <v>1446019.8568094918</v>
      </c>
      <c r="H15" s="20">
        <f t="shared" si="6"/>
        <v>1081064.0867912921</v>
      </c>
      <c r="I15" s="20">
        <f t="shared" si="6"/>
        <v>1081064.0867912921</v>
      </c>
      <c r="J15" s="20">
        <f t="shared" si="6"/>
        <v>1081064.0867912921</v>
      </c>
      <c r="K15" s="20">
        <f t="shared" si="6"/>
        <v>1068265.7591979294</v>
      </c>
      <c r="L15" s="20">
        <f t="shared" si="6"/>
        <v>1068265.7591979294</v>
      </c>
      <c r="M15" s="20">
        <f t="shared" si="6"/>
        <v>1068265.7591979294</v>
      </c>
      <c r="N15" s="20">
        <f t="shared" si="6"/>
        <v>1068265.7591979294</v>
      </c>
      <c r="O15" s="20">
        <f t="shared" si="6"/>
        <v>1068265.7591979294</v>
      </c>
      <c r="P15" s="20">
        <f t="shared" si="6"/>
        <v>1068265.7591979294</v>
      </c>
      <c r="Q15" s="20">
        <f t="shared" si="6"/>
        <v>1068265.7591979294</v>
      </c>
      <c r="R15" s="20">
        <f t="shared" si="6"/>
        <v>1068265.7591979294</v>
      </c>
      <c r="S15" s="20">
        <f t="shared" si="6"/>
        <v>1068265.7591979294</v>
      </c>
      <c r="T15" s="20">
        <f t="shared" si="6"/>
        <v>1068265.7591979294</v>
      </c>
    </row>
    <row r="16" spans="1:21" s="1" customFormat="1" ht="12">
      <c r="A16" s="82"/>
      <c r="B16" s="94" t="s">
        <v>314</v>
      </c>
      <c r="C16" s="175"/>
      <c r="D16" s="252"/>
      <c r="E16" s="20">
        <f>SUM(E17:E22)</f>
        <v>1460540.8616844919</v>
      </c>
      <c r="F16" s="20">
        <f t="shared" ref="F16:T16" si="7">SUM(F17:F22)</f>
        <v>1446019.8568094918</v>
      </c>
      <c r="G16" s="20">
        <f t="shared" si="7"/>
        <v>1446019.8568094918</v>
      </c>
      <c r="H16" s="20">
        <f t="shared" si="7"/>
        <v>1081064.0867912921</v>
      </c>
      <c r="I16" s="20">
        <f t="shared" si="7"/>
        <v>1081064.0867912921</v>
      </c>
      <c r="J16" s="20">
        <f t="shared" si="7"/>
        <v>1081064.0867912921</v>
      </c>
      <c r="K16" s="20">
        <f t="shared" si="7"/>
        <v>1068265.7591979294</v>
      </c>
      <c r="L16" s="20">
        <f t="shared" si="7"/>
        <v>1068265.7591979294</v>
      </c>
      <c r="M16" s="20">
        <f t="shared" si="7"/>
        <v>1068265.7591979294</v>
      </c>
      <c r="N16" s="20">
        <f t="shared" si="7"/>
        <v>1068265.7591979294</v>
      </c>
      <c r="O16" s="20">
        <f t="shared" si="7"/>
        <v>1068265.7591979294</v>
      </c>
      <c r="P16" s="20">
        <f t="shared" si="7"/>
        <v>1068265.7591979294</v>
      </c>
      <c r="Q16" s="20">
        <f t="shared" si="7"/>
        <v>1068265.7591979294</v>
      </c>
      <c r="R16" s="20">
        <f t="shared" si="7"/>
        <v>1068265.7591979294</v>
      </c>
      <c r="S16" s="20">
        <f t="shared" si="7"/>
        <v>1068265.7591979294</v>
      </c>
      <c r="T16" s="20">
        <f t="shared" si="7"/>
        <v>1068265.7591979294</v>
      </c>
    </row>
    <row r="17" spans="1:20" s="1" customFormat="1" ht="12">
      <c r="A17" s="82"/>
      <c r="B17" s="93" t="s">
        <v>361</v>
      </c>
      <c r="C17" s="175" t="s">
        <v>0</v>
      </c>
      <c r="D17" s="252"/>
      <c r="E17" s="20">
        <f>(Założenia!D312*Założenia!D341*Założenia!$E51/100+Założenia!D324*Założenia!D345*Założenia!$G51/100)*Założenia!$E$153</f>
        <v>0</v>
      </c>
      <c r="F17" s="20">
        <f>(Założenia!E312*Założenia!E341*Założenia!$E51/100+Założenia!E324*Założenia!E345*Założenia!$G51/100)*Założenia!$E$153</f>
        <v>0</v>
      </c>
      <c r="G17" s="20">
        <f>(Założenia!F312*Założenia!F341*Założenia!$E51/100+Założenia!F324*Założenia!F345*Założenia!$G51/100)*Założenia!$E$153</f>
        <v>0</v>
      </c>
      <c r="H17" s="20">
        <f>(Założenia!G312*Założenia!G341*Założenia!$E51/100+Założenia!G324*Założenia!G345*Założenia!$G51/100)*Założenia!$E$153</f>
        <v>0</v>
      </c>
      <c r="I17" s="20">
        <f>(Założenia!H312*Założenia!H341*Założenia!$E51/100+Założenia!H324*Założenia!H345*Założenia!$G51/100)*Założenia!$E$153</f>
        <v>0</v>
      </c>
      <c r="J17" s="20">
        <f>(Założenia!I312*Założenia!I341*Założenia!$E51/100+Założenia!I324*Założenia!I345*Założenia!$G51/100)*Założenia!$E$153</f>
        <v>0</v>
      </c>
      <c r="K17" s="20">
        <f>(Założenia!J312*Założenia!J341*Założenia!$E51/100+Założenia!J324*Założenia!J345*Założenia!$G51/100)*Założenia!$E$153</f>
        <v>0</v>
      </c>
      <c r="L17" s="20">
        <f>(Założenia!K312*Założenia!K341*Założenia!$E51/100+Założenia!K324*Założenia!K345*Założenia!$G51/100)*Założenia!$E$153</f>
        <v>0</v>
      </c>
      <c r="M17" s="20">
        <f>(Założenia!L312*Założenia!L341*Założenia!$E51/100+Założenia!L324*Założenia!L345*Założenia!$G51/100)*Założenia!$E$153</f>
        <v>0</v>
      </c>
      <c r="N17" s="20">
        <f>(Założenia!M312*Założenia!M341*Założenia!$E51/100+Założenia!M324*Założenia!M345*Założenia!$G51/100)*Założenia!$E$153</f>
        <v>0</v>
      </c>
      <c r="O17" s="20">
        <f>(Założenia!N312*Założenia!N341*Założenia!$E51/100+Założenia!N324*Założenia!N345*Założenia!$G51/100)*Założenia!$E$153</f>
        <v>0</v>
      </c>
      <c r="P17" s="20">
        <f>(Założenia!O312*Założenia!O341*Założenia!$E51/100+Założenia!O324*Założenia!O345*Założenia!$G51/100)*Założenia!$E$153</f>
        <v>0</v>
      </c>
      <c r="Q17" s="20">
        <f>(Założenia!P312*Założenia!P341*Założenia!$E51/100+Założenia!P324*Założenia!P345*Założenia!$G51/100)*Założenia!$E$153</f>
        <v>0</v>
      </c>
      <c r="R17" s="20">
        <f>(Założenia!Q312*Założenia!Q341*Założenia!$E51/100+Założenia!Q324*Założenia!Q345*Założenia!$G51/100)*Założenia!$E$153</f>
        <v>0</v>
      </c>
      <c r="S17" s="20">
        <f>(Założenia!R312*Założenia!R341*Założenia!$E51/100+Założenia!R324*Założenia!R345*Założenia!$G51/100)*Założenia!$E$153</f>
        <v>0</v>
      </c>
      <c r="T17" s="20">
        <f>(Założenia!S312*Założenia!S341*Założenia!$E51/100+Założenia!S324*Założenia!S345*Założenia!$G51/100)*Założenia!$E$153</f>
        <v>0</v>
      </c>
    </row>
    <row r="18" spans="1:20" s="1" customFormat="1" ht="12">
      <c r="A18" s="82"/>
      <c r="B18" s="93" t="s">
        <v>362</v>
      </c>
      <c r="C18" s="175" t="s">
        <v>0</v>
      </c>
      <c r="D18" s="252"/>
      <c r="E18" s="20">
        <f>(Założenia!D313*Założenia!D341*Założenia!$E52/100+Założenia!D325*Założenia!D345*Założenia!$G52/100)*Założenia!$E$153</f>
        <v>0</v>
      </c>
      <c r="F18" s="20">
        <f>(Założenia!E313*Założenia!E341*Założenia!$E52/100+Założenia!E325*Założenia!E345*Założenia!$G52/100)*Założenia!$E$153</f>
        <v>0</v>
      </c>
      <c r="G18" s="20">
        <f>(Założenia!F313*Założenia!F341*Założenia!$E52/100+Założenia!F325*Założenia!F345*Założenia!$G52/100)*Założenia!$E$153</f>
        <v>0</v>
      </c>
      <c r="H18" s="20">
        <f>(Założenia!G313*Założenia!G341*Założenia!$E52/100+Założenia!G325*Założenia!G345*Założenia!$G52/100)*Założenia!$E$153</f>
        <v>0</v>
      </c>
      <c r="I18" s="20">
        <f>(Założenia!H313*Założenia!H341*Założenia!$E52/100+Założenia!H325*Założenia!H345*Założenia!$G52/100)*Założenia!$E$153</f>
        <v>0</v>
      </c>
      <c r="J18" s="20">
        <f>(Założenia!I313*Założenia!I341*Założenia!$E52/100+Założenia!I325*Założenia!I345*Założenia!$G52/100)*Założenia!$E$153</f>
        <v>0</v>
      </c>
      <c r="K18" s="20">
        <f>(Założenia!J313*Założenia!J341*Założenia!$E52/100+Założenia!J325*Założenia!J345*Założenia!$G52/100)*Założenia!$E$153</f>
        <v>0</v>
      </c>
      <c r="L18" s="20">
        <f>(Założenia!K313*Założenia!K341*Założenia!$E52/100+Założenia!K325*Założenia!K345*Założenia!$G52/100)*Założenia!$E$153</f>
        <v>0</v>
      </c>
      <c r="M18" s="20">
        <f>(Założenia!L313*Założenia!L341*Założenia!$E52/100+Założenia!L325*Założenia!L345*Założenia!$G52/100)*Założenia!$E$153</f>
        <v>0</v>
      </c>
      <c r="N18" s="20">
        <f>(Założenia!M313*Założenia!M341*Założenia!$E52/100+Założenia!M325*Założenia!M345*Założenia!$G52/100)*Założenia!$E$153</f>
        <v>0</v>
      </c>
      <c r="O18" s="20">
        <f>(Założenia!N313*Założenia!N341*Założenia!$E52/100+Założenia!N325*Założenia!N345*Założenia!$G52/100)*Założenia!$E$153</f>
        <v>0</v>
      </c>
      <c r="P18" s="20">
        <f>(Założenia!O313*Założenia!O341*Założenia!$E52/100+Założenia!O325*Założenia!O345*Założenia!$G52/100)*Założenia!$E$153</f>
        <v>0</v>
      </c>
      <c r="Q18" s="20">
        <f>(Założenia!P313*Założenia!P341*Założenia!$E52/100+Założenia!P325*Założenia!P345*Założenia!$G52/100)*Założenia!$E$153</f>
        <v>0</v>
      </c>
      <c r="R18" s="20">
        <f>(Założenia!Q313*Założenia!Q341*Założenia!$E52/100+Założenia!Q325*Założenia!Q345*Założenia!$G52/100)*Założenia!$E$153</f>
        <v>0</v>
      </c>
      <c r="S18" s="20">
        <f>(Założenia!R313*Założenia!R341*Założenia!$E52/100+Założenia!R325*Założenia!R345*Założenia!$G52/100)*Założenia!$E$153</f>
        <v>0</v>
      </c>
      <c r="T18" s="20">
        <f>(Założenia!S313*Założenia!S341*Założenia!$E52/100+Założenia!S325*Założenia!S345*Założenia!$G52/100)*Założenia!$E$153</f>
        <v>0</v>
      </c>
    </row>
    <row r="19" spans="1:20" s="1" customFormat="1" ht="12">
      <c r="A19" s="82"/>
      <c r="B19" s="93" t="s">
        <v>363</v>
      </c>
      <c r="C19" s="175" t="s">
        <v>0</v>
      </c>
      <c r="D19" s="252"/>
      <c r="E19" s="20">
        <f>(Założenia!D314*Założenia!D341*Założenia!$E53/100+Założenia!D326*Założenia!D345*Założenia!$G53/100)*Założenia!$E$153</f>
        <v>0</v>
      </c>
      <c r="F19" s="20">
        <f>(Założenia!E314*Założenia!E341*Założenia!$E53/100+Założenia!E326*Założenia!E345*Założenia!$G53/100)*Założenia!$E$153</f>
        <v>0</v>
      </c>
      <c r="G19" s="20">
        <f>(Założenia!F314*Założenia!F341*Założenia!$E53/100+Założenia!F326*Założenia!F345*Założenia!$G53/100)*Założenia!$E$153</f>
        <v>0</v>
      </c>
      <c r="H19" s="20">
        <f>(Założenia!G314*Założenia!G341*Założenia!$E53/100+Założenia!G326*Założenia!G345*Założenia!$G53/100)*Założenia!$E$153</f>
        <v>0</v>
      </c>
      <c r="I19" s="20">
        <f>(Założenia!H314*Założenia!H341*Założenia!$E53/100+Założenia!H326*Założenia!H345*Założenia!$G53/100)*Założenia!$E$153</f>
        <v>0</v>
      </c>
      <c r="J19" s="20">
        <f>(Założenia!I314*Założenia!I341*Założenia!$E53/100+Założenia!I326*Założenia!I345*Założenia!$G53/100)*Założenia!$E$153</f>
        <v>0</v>
      </c>
      <c r="K19" s="20">
        <f>(Założenia!J314*Założenia!J341*Założenia!$E53/100+Założenia!J326*Założenia!J345*Założenia!$G53/100)*Założenia!$E$153</f>
        <v>0</v>
      </c>
      <c r="L19" s="20">
        <f>(Założenia!K314*Założenia!K341*Założenia!$E53/100+Założenia!K326*Założenia!K345*Założenia!$G53/100)*Założenia!$E$153</f>
        <v>0</v>
      </c>
      <c r="M19" s="20">
        <f>(Założenia!L314*Założenia!L341*Założenia!$E53/100+Założenia!L326*Założenia!L345*Założenia!$G53/100)*Założenia!$E$153</f>
        <v>0</v>
      </c>
      <c r="N19" s="20">
        <f>(Założenia!M314*Założenia!M341*Założenia!$E53/100+Założenia!M326*Założenia!M345*Założenia!$G53/100)*Założenia!$E$153</f>
        <v>0</v>
      </c>
      <c r="O19" s="20">
        <f>(Założenia!N314*Założenia!N341*Założenia!$E53/100+Założenia!N326*Założenia!N345*Założenia!$G53/100)*Założenia!$E$153</f>
        <v>0</v>
      </c>
      <c r="P19" s="20">
        <f>(Założenia!O314*Założenia!O341*Założenia!$E53/100+Założenia!O326*Założenia!O345*Założenia!$G53/100)*Założenia!$E$153</f>
        <v>0</v>
      </c>
      <c r="Q19" s="20">
        <f>(Założenia!P314*Założenia!P341*Założenia!$E53/100+Założenia!P326*Założenia!P345*Założenia!$G53/100)*Założenia!$E$153</f>
        <v>0</v>
      </c>
      <c r="R19" s="20">
        <f>(Założenia!Q314*Założenia!Q341*Założenia!$E53/100+Założenia!Q326*Założenia!Q345*Założenia!$G53/100)*Założenia!$E$153</f>
        <v>0</v>
      </c>
      <c r="S19" s="20">
        <f>(Założenia!R314*Założenia!R341*Założenia!$E53/100+Założenia!R326*Założenia!R345*Założenia!$G53/100)*Założenia!$E$153</f>
        <v>0</v>
      </c>
      <c r="T19" s="20">
        <f>(Założenia!S314*Założenia!S341*Założenia!$E53/100+Założenia!S326*Założenia!S345*Założenia!$G53/100)*Założenia!$E$153</f>
        <v>0</v>
      </c>
    </row>
    <row r="20" spans="1:20" s="1" customFormat="1" ht="12">
      <c r="A20" s="82"/>
      <c r="B20" s="93" t="s">
        <v>364</v>
      </c>
      <c r="C20" s="175" t="s">
        <v>0</v>
      </c>
      <c r="D20" s="252"/>
      <c r="E20" s="20">
        <f>(Założenia!D315*Założenia!D341*Założenia!$E54/100+Założenia!D327*Założenia!D345*Założenia!$G54/100)*Założenia!$E$153</f>
        <v>0</v>
      </c>
      <c r="F20" s="20">
        <f>(Założenia!E315*Założenia!E341*Założenia!$E54/100+Założenia!E327*Założenia!E345*Założenia!$G54/100)*Założenia!$E$153</f>
        <v>0</v>
      </c>
      <c r="G20" s="20">
        <f>(Założenia!F315*Założenia!F341*Założenia!$E54/100+Założenia!F327*Założenia!F345*Założenia!$G54/100)*Założenia!$E$153</f>
        <v>0</v>
      </c>
      <c r="H20" s="20">
        <f>(Założenia!G315*Założenia!G341*Założenia!$E54/100+Założenia!G327*Założenia!G345*Założenia!$G54/100)*Założenia!$E$153</f>
        <v>0</v>
      </c>
      <c r="I20" s="20">
        <f>(Założenia!H315*Założenia!H341*Założenia!$E54/100+Założenia!H327*Założenia!H345*Założenia!$G54/100)*Założenia!$E$153</f>
        <v>0</v>
      </c>
      <c r="J20" s="20">
        <f>(Założenia!I315*Założenia!I341*Założenia!$E54/100+Założenia!I327*Założenia!I345*Założenia!$G54/100)*Założenia!$E$153</f>
        <v>0</v>
      </c>
      <c r="K20" s="20">
        <f>(Założenia!J315*Założenia!J341*Założenia!$E54/100+Założenia!J327*Założenia!J345*Założenia!$G54/100)*Założenia!$E$153</f>
        <v>0</v>
      </c>
      <c r="L20" s="20">
        <f>(Założenia!K315*Założenia!K341*Założenia!$E54/100+Założenia!K327*Założenia!K345*Założenia!$G54/100)*Założenia!$E$153</f>
        <v>0</v>
      </c>
      <c r="M20" s="20">
        <f>(Założenia!L315*Założenia!L341*Założenia!$E54/100+Założenia!L327*Założenia!L345*Założenia!$G54/100)*Założenia!$E$153</f>
        <v>0</v>
      </c>
      <c r="N20" s="20">
        <f>(Założenia!M315*Założenia!M341*Założenia!$E54/100+Założenia!M327*Założenia!M345*Założenia!$G54/100)*Założenia!$E$153</f>
        <v>0</v>
      </c>
      <c r="O20" s="20">
        <f>(Założenia!N315*Założenia!N341*Założenia!$E54/100+Założenia!N327*Założenia!N345*Założenia!$G54/100)*Założenia!$E$153</f>
        <v>0</v>
      </c>
      <c r="P20" s="20">
        <f>(Założenia!O315*Założenia!O341*Założenia!$E54/100+Założenia!O327*Założenia!O345*Założenia!$G54/100)*Założenia!$E$153</f>
        <v>0</v>
      </c>
      <c r="Q20" s="20">
        <f>(Założenia!P315*Założenia!P341*Założenia!$E54/100+Założenia!P327*Założenia!P345*Założenia!$G54/100)*Założenia!$E$153</f>
        <v>0</v>
      </c>
      <c r="R20" s="20">
        <f>(Założenia!Q315*Założenia!Q341*Założenia!$E54/100+Założenia!Q327*Założenia!Q345*Założenia!$G54/100)*Założenia!$E$153</f>
        <v>0</v>
      </c>
      <c r="S20" s="20">
        <f>(Założenia!R315*Założenia!R341*Założenia!$E54/100+Założenia!R327*Założenia!R345*Założenia!$G54/100)*Założenia!$E$153</f>
        <v>0</v>
      </c>
      <c r="T20" s="20">
        <f>(Założenia!S315*Założenia!S341*Założenia!$E54/100+Założenia!S327*Założenia!S345*Założenia!$G54/100)*Założenia!$E$153</f>
        <v>0</v>
      </c>
    </row>
    <row r="21" spans="1:20" s="1" customFormat="1" ht="12">
      <c r="A21" s="82"/>
      <c r="B21" s="93" t="s">
        <v>365</v>
      </c>
      <c r="C21" s="175" t="s">
        <v>0</v>
      </c>
      <c r="D21" s="252"/>
      <c r="E21" s="20">
        <f>(Założenia!D316*Założenia!D341*Założenia!$E55/100+Założenia!D318*Założenia!D341*Założenia!$E163/100+Założenia!D328*Założenia!D345*Założenia!$G55/100)*Założenia!$E$153</f>
        <v>130747.77037433152</v>
      </c>
      <c r="F21" s="20">
        <f>(Założenia!E316*Założenia!E341*Założenia!$E55/100+Założenia!E318*Założenia!E341*Założenia!$E163/100+Założenia!E328*Założenia!E345*Założenia!$G55/100)*Założenia!$E$153</f>
        <v>129008.72787433151</v>
      </c>
      <c r="G21" s="20">
        <f>(Założenia!F316*Założenia!F341*Założenia!$E55/100+Założenia!F318*Założenia!F341*Założenia!$E163/100+Założenia!F328*Założenia!F345*Założenia!$G55/100)*Założenia!$E$153</f>
        <v>129008.72787433151</v>
      </c>
      <c r="H21" s="20">
        <f>(Założenia!G316*Założenia!G341*Założenia!$E55/100+Założenia!G318*Założenia!G341*Założenia!$E163/100+Założenia!G328*Założenia!G345*Założenia!$G55/100)*Założenia!$E$153</f>
        <v>123733.7242047191</v>
      </c>
      <c r="I21" s="20">
        <f>(Założenia!H316*Założenia!H341*Założenia!$E55/100+Założenia!H318*Założenia!H341*Założenia!$E163/100+Założenia!H328*Założenia!H345*Założenia!$G55/100)*Założenia!$E$153</f>
        <v>123733.7242047191</v>
      </c>
      <c r="J21" s="20">
        <f>(Założenia!I316*Założenia!I341*Założenia!$E55/100+Założenia!I318*Założenia!I341*Założenia!$E163/100+Założenia!I328*Założenia!I345*Założenia!$G55/100)*Założenia!$E$153</f>
        <v>123733.7242047191</v>
      </c>
      <c r="K21" s="20">
        <f>(Założenia!J316*Założenia!J341*Założenia!$E55/100+Założenia!J318*Założenia!J341*Założenia!$E163/100+Założenia!J328*Założenia!J345*Założenia!$G55/100)*Założenia!$E$153</f>
        <v>0</v>
      </c>
      <c r="L21" s="20">
        <f>(Założenia!K316*Założenia!K341*Założenia!$E55/100+Założenia!K318*Założenia!K341*Założenia!$E163/100+Założenia!K328*Założenia!K345*Założenia!$G55/100)*Założenia!$E$153</f>
        <v>0</v>
      </c>
      <c r="M21" s="20">
        <f>(Założenia!L316*Założenia!L341*Założenia!$E55/100+Założenia!L318*Założenia!L341*Założenia!$E163/100+Założenia!L328*Założenia!L345*Założenia!$G55/100)*Założenia!$E$153</f>
        <v>0</v>
      </c>
      <c r="N21" s="20">
        <f>(Założenia!M316*Założenia!M341*Założenia!$E55/100+Założenia!M318*Założenia!M341*Założenia!$E163/100+Założenia!M328*Założenia!M345*Założenia!$G55/100)*Założenia!$E$153</f>
        <v>0</v>
      </c>
      <c r="O21" s="20">
        <f>(Założenia!N316*Założenia!N341*Założenia!$E55/100+Założenia!N318*Założenia!N341*Założenia!$E163/100+Założenia!N328*Założenia!N345*Założenia!$G55/100)*Założenia!$E$153</f>
        <v>0</v>
      </c>
      <c r="P21" s="20">
        <f>(Założenia!O316*Założenia!O341*Założenia!$E55/100+Założenia!O318*Założenia!O341*Założenia!$E163/100+Założenia!O328*Założenia!O345*Założenia!$G55/100)*Założenia!$E$153</f>
        <v>0</v>
      </c>
      <c r="Q21" s="20">
        <f>(Założenia!P316*Założenia!P341*Założenia!$E55/100+Założenia!P318*Założenia!P341*Założenia!$E163/100+Założenia!P328*Założenia!P345*Założenia!$G55/100)*Założenia!$E$153</f>
        <v>0</v>
      </c>
      <c r="R21" s="20">
        <f>(Założenia!Q316*Założenia!Q341*Założenia!$E55/100+Założenia!Q318*Założenia!Q341*Założenia!$E163/100+Założenia!Q328*Założenia!Q345*Założenia!$G55/100)*Założenia!$E$153</f>
        <v>0</v>
      </c>
      <c r="S21" s="20">
        <f>(Założenia!R316*Założenia!R341*Założenia!$E55/100+Założenia!R318*Założenia!R341*Założenia!$E163/100+Założenia!R328*Założenia!R345*Założenia!$G55/100)*Założenia!$E$153</f>
        <v>0</v>
      </c>
      <c r="T21" s="20">
        <f>(Założenia!S316*Założenia!S341*Założenia!$E55/100+Założenia!S318*Założenia!S341*Założenia!$E163/100+Założenia!S328*Założenia!S345*Założenia!$G55/100)*Założenia!$E$153</f>
        <v>0</v>
      </c>
    </row>
    <row r="22" spans="1:20" s="1" customFormat="1" ht="12">
      <c r="A22" s="82"/>
      <c r="B22" s="93" t="s">
        <v>367</v>
      </c>
      <c r="C22" s="175" t="s">
        <v>0</v>
      </c>
      <c r="D22" s="252"/>
      <c r="E22" s="20">
        <f>(Założenia!D317*Założenia!D341*Założenia!$E56/100+Założenia!D319*Założenia!D341*Założenia!$E163/100+Założenia!D329*Założenia!D345*Założenia!$G56/100+Założenia!D330*Założenia!D345*Założenia!$E164/100)*Założenia!$E$153</f>
        <v>1329793.0913101602</v>
      </c>
      <c r="F22" s="20">
        <f>(Założenia!E317*Założenia!E341*Założenia!$E56/100+Założenia!E319*Założenia!E341*Założenia!$E163/100+Założenia!E329*Założenia!E345*Założenia!$G56/100+Założenia!E330*Założenia!E345*Założenia!$E164/100)*Założenia!$E$153</f>
        <v>1317011.1289351603</v>
      </c>
      <c r="G22" s="20">
        <f>(Założenia!F317*Założenia!F341*Założenia!$E56/100+Założenia!F319*Założenia!F341*Założenia!$E163/100+Założenia!F329*Założenia!F345*Założenia!$G56/100+Założenia!F330*Założenia!F345*Założenia!$E164/100)*Założenia!$E$153</f>
        <v>1317011.1289351603</v>
      </c>
      <c r="H22" s="20">
        <f>(Założenia!G317*Założenia!G341*Założenia!$E56/100+Założenia!G319*Założenia!G341*Założenia!$E163/100+Założenia!G329*Założenia!G345*Założenia!$G56/100+Założenia!G330*Założenia!G345*Założenia!$E164/100)*Założenia!$E$153</f>
        <v>957330.36258657288</v>
      </c>
      <c r="I22" s="20">
        <f>(Założenia!H317*Założenia!H341*Założenia!$E56/100+Założenia!H319*Założenia!H341*Założenia!$E163/100+Założenia!H329*Założenia!H345*Założenia!$G56/100+Założenia!H330*Założenia!H345*Założenia!$E164/100)*Założenia!$E$153</f>
        <v>957330.36258657288</v>
      </c>
      <c r="J22" s="20">
        <f>(Założenia!I317*Założenia!I341*Założenia!$E56/100+Założenia!I319*Założenia!I341*Założenia!$E163/100+Założenia!I329*Założenia!I345*Założenia!$G56/100+Założenia!I330*Założenia!I345*Założenia!$E164/100)*Założenia!$E$153</f>
        <v>957330.36258657288</v>
      </c>
      <c r="K22" s="20">
        <f>(Założenia!J317*Założenia!J341*Założenia!$E56/100+Założenia!J319*Założenia!J341*Założenia!$E163/100+Założenia!J329*Założenia!J345*Założenia!$G56/100+Założenia!J330*Założenia!J345*Założenia!$E164/100)*Założenia!$E$153</f>
        <v>1068265.7591979294</v>
      </c>
      <c r="L22" s="20">
        <f>(Założenia!K317*Założenia!K341*Założenia!$E56/100+Założenia!K319*Założenia!K341*Założenia!$E163/100+Założenia!K329*Założenia!K345*Założenia!$G56/100+Założenia!K330*Założenia!K345*Założenia!$E164/100)*Założenia!$E$153</f>
        <v>1068265.7591979294</v>
      </c>
      <c r="M22" s="20">
        <f>(Założenia!L317*Założenia!L341*Założenia!$E56/100+Założenia!L319*Założenia!L341*Założenia!$E163/100+Założenia!L329*Założenia!L345*Założenia!$G56/100+Założenia!L330*Założenia!L345*Założenia!$E164/100)*Założenia!$E$153</f>
        <v>1068265.7591979294</v>
      </c>
      <c r="N22" s="20">
        <f>(Założenia!M317*Założenia!M341*Założenia!$E56/100+Założenia!M319*Założenia!M341*Założenia!$E163/100+Założenia!M329*Założenia!M345*Założenia!$G56/100+Założenia!M330*Założenia!M345*Założenia!$E164/100)*Założenia!$E$153</f>
        <v>1068265.7591979294</v>
      </c>
      <c r="O22" s="20">
        <f>(Założenia!N317*Założenia!N341*Założenia!$E56/100+Założenia!N319*Założenia!N341*Założenia!$E163/100+Założenia!N329*Założenia!N345*Założenia!$G56/100+Założenia!N330*Założenia!N345*Założenia!$E164/100)*Założenia!$E$153</f>
        <v>1068265.7591979294</v>
      </c>
      <c r="P22" s="20">
        <f>(Założenia!O317*Założenia!O341*Założenia!$E56/100+Założenia!O319*Założenia!O341*Założenia!$E163/100+Założenia!O329*Założenia!O345*Założenia!$G56/100+Założenia!O330*Założenia!O345*Założenia!$E164/100)*Założenia!$E$153</f>
        <v>1068265.7591979294</v>
      </c>
      <c r="Q22" s="20">
        <f>(Założenia!P317*Założenia!P341*Założenia!$E56/100+Założenia!P319*Założenia!P341*Założenia!$E163/100+Założenia!P329*Założenia!P345*Założenia!$G56/100+Założenia!P330*Założenia!P345*Założenia!$E164/100)*Założenia!$E$153</f>
        <v>1068265.7591979294</v>
      </c>
      <c r="R22" s="20">
        <f>(Założenia!Q317*Założenia!Q341*Założenia!$E56/100+Założenia!Q319*Założenia!Q341*Założenia!$E163/100+Założenia!Q329*Założenia!Q345*Założenia!$G56/100+Założenia!Q330*Założenia!Q345*Założenia!$E164/100)*Założenia!$E$153</f>
        <v>1068265.7591979294</v>
      </c>
      <c r="S22" s="20">
        <f>(Założenia!R317*Założenia!R341*Założenia!$E56/100+Założenia!R319*Założenia!R341*Założenia!$E163/100+Założenia!R329*Założenia!R345*Założenia!$G56/100+Założenia!R330*Założenia!R345*Założenia!$E164/100)*Założenia!$E$153</f>
        <v>1068265.7591979294</v>
      </c>
      <c r="T22" s="20">
        <f>(Założenia!S317*Założenia!S341*Założenia!$E56/100+Założenia!S319*Założenia!S341*Założenia!$E163/100+Założenia!S329*Założenia!S345*Założenia!$G56/100+Założenia!S330*Założenia!S345*Założenia!$E164/100)*Założenia!$E$153</f>
        <v>1068265.7591979294</v>
      </c>
    </row>
    <row r="23" spans="1:20" s="1" customFormat="1" ht="12">
      <c r="A23" s="82" t="s">
        <v>153</v>
      </c>
      <c r="B23" s="93" t="s">
        <v>279</v>
      </c>
      <c r="C23" s="175" t="s">
        <v>0</v>
      </c>
      <c r="D23" s="252"/>
      <c r="E23" s="20">
        <f>(E24+E31)*(1+(Założenia!D347-Założenia!$D$347)*Założenia!$E$162)</f>
        <v>363435.69850289018</v>
      </c>
      <c r="F23" s="20">
        <f>(F24+F31)*(1+(Założenia!E347-Założenia!$D$347)*Założenia!$E$162)</f>
        <v>377649.8542265541</v>
      </c>
      <c r="G23" s="20">
        <f>(G24+G31)*(1+(Założenia!F347-Założenia!$D$347)*Założenia!$E$162)</f>
        <v>395633.18061829475</v>
      </c>
      <c r="H23" s="20">
        <f>(H24+H31)*(1+(Założenia!G347-Założenia!$D$347)*Założenia!$E$162)</f>
        <v>300524.28675307444</v>
      </c>
      <c r="I23" s="20">
        <f>(I24+I31)*(1+(Założenia!H347-Założenia!$D$347)*Założenia!$E$162)</f>
        <v>317088.61751899199</v>
      </c>
      <c r="J23" s="20">
        <f>(J24+J31)*(1+(Założenia!I347-Założenia!$D$347)*Założenia!$E$162)</f>
        <v>333652.94828490942</v>
      </c>
      <c r="K23" s="20">
        <f>(K24+K31)*(1+(Założenia!J347-Założenia!$D$347)*Założenia!$E$162)</f>
        <v>338385.61421802873</v>
      </c>
      <c r="L23" s="20">
        <f>(L24+L31)*(1+(Założenia!K347-Założenia!$D$347)*Założenia!$E$162)</f>
        <v>354949.94498394628</v>
      </c>
      <c r="M23" s="20">
        <f>(M24+M31)*(1+(Założenia!L347-Założenia!$D$347)*Założenia!$E$162)</f>
        <v>371514.27574986377</v>
      </c>
      <c r="N23" s="20">
        <f>(N24+N31)*(1+(Założenia!M347-Założenia!$D$347)*Założenia!$E$162)</f>
        <v>388078.60651578126</v>
      </c>
      <c r="O23" s="20">
        <f>(O24+O31)*(1+(Założenia!N347-Założenia!$D$347)*Założenia!$E$162)</f>
        <v>404642.9372816988</v>
      </c>
      <c r="P23" s="20">
        <f>(P24+P31)*(1+(Założenia!O347-Założenia!$D$347)*Założenia!$E$162)</f>
        <v>350217.27905082697</v>
      </c>
      <c r="Q23" s="20">
        <f>(Q24+Q31)*(1+(Założenia!P347-Założenia!$D$347)*Założenia!$E$162)</f>
        <v>366781.60981674452</v>
      </c>
      <c r="R23" s="20">
        <f>(R24+R31)*(1+(Założenia!Q347-Założenia!$D$347)*Założenia!$E$162)</f>
        <v>361260.16622810526</v>
      </c>
      <c r="S23" s="20">
        <f>(S24+S31)*(1+(Założenia!R347-Założenia!$D$347)*Założenia!$E$162)</f>
        <v>377824.4969940228</v>
      </c>
      <c r="T23" s="20">
        <f>(T24+T31)*(1+(Założenia!S347-Założenia!$D$347)*Założenia!$E$162)</f>
        <v>365992.83216122462</v>
      </c>
    </row>
    <row r="24" spans="1:20" s="1" customFormat="1" ht="12">
      <c r="A24" s="82"/>
      <c r="B24" s="94" t="s">
        <v>314</v>
      </c>
      <c r="C24" s="175"/>
      <c r="D24" s="252"/>
      <c r="E24" s="20">
        <f>SUM(E25:E30)</f>
        <v>343935.32218002866</v>
      </c>
      <c r="F24" s="20">
        <f t="shared" ref="F24:T24" si="8">SUM(F25:F30)</f>
        <v>340166.15151195187</v>
      </c>
      <c r="G24" s="20">
        <f t="shared" si="8"/>
        <v>340166.15151195187</v>
      </c>
      <c r="H24" s="20">
        <f t="shared" si="8"/>
        <v>245566.44312373994</v>
      </c>
      <c r="I24" s="20">
        <f t="shared" si="8"/>
        <v>245566.44312373994</v>
      </c>
      <c r="J24" s="20">
        <f t="shared" si="8"/>
        <v>245566.44312373994</v>
      </c>
      <c r="K24" s="20">
        <f t="shared" si="8"/>
        <v>245566.44312373997</v>
      </c>
      <c r="L24" s="20">
        <f t="shared" si="8"/>
        <v>245566.44312373997</v>
      </c>
      <c r="M24" s="20">
        <f t="shared" si="8"/>
        <v>245566.44312373997</v>
      </c>
      <c r="N24" s="20">
        <f t="shared" si="8"/>
        <v>245566.44312373997</v>
      </c>
      <c r="O24" s="20">
        <f t="shared" si="8"/>
        <v>245566.44312373997</v>
      </c>
      <c r="P24" s="20">
        <f t="shared" si="8"/>
        <v>245566.44312373997</v>
      </c>
      <c r="Q24" s="20">
        <f t="shared" si="8"/>
        <v>245566.44312373997</v>
      </c>
      <c r="R24" s="20">
        <f t="shared" si="8"/>
        <v>245566.44312373997</v>
      </c>
      <c r="S24" s="20">
        <f t="shared" si="8"/>
        <v>245566.44312373997</v>
      </c>
      <c r="T24" s="20">
        <f t="shared" si="8"/>
        <v>245566.44312373997</v>
      </c>
    </row>
    <row r="25" spans="1:20" s="1" customFormat="1" ht="12">
      <c r="A25" s="82"/>
      <c r="B25" s="93" t="s">
        <v>361</v>
      </c>
      <c r="C25" s="175" t="s">
        <v>0</v>
      </c>
      <c r="D25" s="252"/>
      <c r="E25" s="20">
        <f>(Założenia!D312*Założenia!D$341+Założenia!D324*Założenia!D$345)*Założenia!$E$157</f>
        <v>0</v>
      </c>
      <c r="F25" s="20">
        <f>(Założenia!E312*Założenia!E$341+Założenia!E324*Założenia!E$345)*Założenia!$E$157</f>
        <v>0</v>
      </c>
      <c r="G25" s="20">
        <f>(Założenia!F312*Założenia!F$341+Założenia!F324*Założenia!F$345)*Założenia!$E$157</f>
        <v>0</v>
      </c>
      <c r="H25" s="20">
        <f>(Założenia!G312*Założenia!G$341+Założenia!G324*Założenia!G$345)*Założenia!$E$157</f>
        <v>0</v>
      </c>
      <c r="I25" s="20">
        <f>(Założenia!H312*Założenia!H$341+Założenia!H324*Założenia!H$345)*Założenia!$E$157</f>
        <v>0</v>
      </c>
      <c r="J25" s="20">
        <f>(Założenia!I312*Założenia!I$341+Założenia!I324*Założenia!I$345)*Założenia!$E$157</f>
        <v>0</v>
      </c>
      <c r="K25" s="20">
        <f>(Założenia!J312*Założenia!J$341+Założenia!J324*Założenia!J$345)*Założenia!$E$157</f>
        <v>0</v>
      </c>
      <c r="L25" s="20">
        <f>(Założenia!K312*Założenia!K$341+Założenia!K324*Założenia!K$345)*Założenia!$E$157</f>
        <v>0</v>
      </c>
      <c r="M25" s="20">
        <f>(Założenia!L312*Założenia!L$341+Założenia!L324*Założenia!L$345)*Założenia!$E$157</f>
        <v>0</v>
      </c>
      <c r="N25" s="20">
        <f>(Założenia!M312*Założenia!M$341+Założenia!M324*Założenia!M$345)*Założenia!$E$157</f>
        <v>0</v>
      </c>
      <c r="O25" s="20">
        <f>(Założenia!N312*Założenia!N$341+Założenia!N324*Założenia!N$345)*Założenia!$E$157</f>
        <v>0</v>
      </c>
      <c r="P25" s="20">
        <f>(Założenia!O312*Założenia!O$341+Założenia!O324*Założenia!O$345)*Założenia!$E$157</f>
        <v>0</v>
      </c>
      <c r="Q25" s="20">
        <f>(Założenia!P312*Założenia!P$341+Założenia!P324*Założenia!P$345)*Założenia!$E$157</f>
        <v>0</v>
      </c>
      <c r="R25" s="20">
        <f>(Założenia!Q312*Założenia!Q$341+Założenia!Q324*Założenia!Q$345)*Założenia!$E$157</f>
        <v>0</v>
      </c>
      <c r="S25" s="20">
        <f>(Założenia!R312*Założenia!R$341+Założenia!R324*Założenia!R$345)*Założenia!$E$157</f>
        <v>0</v>
      </c>
      <c r="T25" s="20">
        <f>(Założenia!S312*Założenia!S$341+Założenia!S324*Założenia!S$345)*Założenia!$E$157</f>
        <v>0</v>
      </c>
    </row>
    <row r="26" spans="1:20" s="1" customFormat="1" ht="12">
      <c r="A26" s="82"/>
      <c r="B26" s="93" t="s">
        <v>362</v>
      </c>
      <c r="C26" s="175" t="s">
        <v>0</v>
      </c>
      <c r="D26" s="252"/>
      <c r="E26" s="20">
        <f>(Założenia!D313*Założenia!D$341+Założenia!D325*Założenia!D$345)*Założenia!$E$157</f>
        <v>0</v>
      </c>
      <c r="F26" s="20">
        <f>(Założenia!E313*Założenia!E$341+Założenia!E325*Założenia!E$345)*Założenia!$E$157</f>
        <v>0</v>
      </c>
      <c r="G26" s="20">
        <f>(Założenia!F313*Założenia!F$341+Założenia!F325*Założenia!F$345)*Założenia!$E$157</f>
        <v>0</v>
      </c>
      <c r="H26" s="20">
        <f>(Założenia!G313*Założenia!G$341+Założenia!G325*Założenia!G$345)*Założenia!$E$157</f>
        <v>0</v>
      </c>
      <c r="I26" s="20">
        <f>(Założenia!H313*Założenia!H$341+Założenia!H325*Założenia!H$345)*Założenia!$E$157</f>
        <v>0</v>
      </c>
      <c r="J26" s="20">
        <f>(Założenia!I313*Założenia!I$341+Założenia!I325*Założenia!I$345)*Założenia!$E$157</f>
        <v>0</v>
      </c>
      <c r="K26" s="20">
        <f>(Założenia!J313*Założenia!J$341+Założenia!J325*Założenia!J$345)*Założenia!$E$157</f>
        <v>0</v>
      </c>
      <c r="L26" s="20">
        <f>(Założenia!K313*Założenia!K$341+Założenia!K325*Założenia!K$345)*Założenia!$E$157</f>
        <v>0</v>
      </c>
      <c r="M26" s="20">
        <f>(Założenia!L313*Założenia!L$341+Założenia!L325*Założenia!L$345)*Założenia!$E$157</f>
        <v>0</v>
      </c>
      <c r="N26" s="20">
        <f>(Założenia!M313*Założenia!M$341+Założenia!M325*Założenia!M$345)*Założenia!$E$157</f>
        <v>0</v>
      </c>
      <c r="O26" s="20">
        <f>(Założenia!N313*Założenia!N$341+Założenia!N325*Założenia!N$345)*Założenia!$E$157</f>
        <v>0</v>
      </c>
      <c r="P26" s="20">
        <f>(Założenia!O313*Założenia!O$341+Założenia!O325*Założenia!O$345)*Założenia!$E$157</f>
        <v>0</v>
      </c>
      <c r="Q26" s="20">
        <f>(Założenia!P313*Założenia!P$341+Założenia!P325*Założenia!P$345)*Założenia!$E$157</f>
        <v>0</v>
      </c>
      <c r="R26" s="20">
        <f>(Założenia!Q313*Założenia!Q$341+Założenia!Q325*Założenia!Q$345)*Założenia!$E$157</f>
        <v>0</v>
      </c>
      <c r="S26" s="20">
        <f>(Założenia!R313*Założenia!R$341+Założenia!R325*Założenia!R$345)*Założenia!$E$157</f>
        <v>0</v>
      </c>
      <c r="T26" s="20">
        <f>(Założenia!S313*Założenia!S$341+Założenia!S325*Założenia!S$345)*Założenia!$E$157</f>
        <v>0</v>
      </c>
    </row>
    <row r="27" spans="1:20" s="1" customFormat="1" ht="12">
      <c r="A27" s="82"/>
      <c r="B27" s="93" t="s">
        <v>363</v>
      </c>
      <c r="C27" s="175" t="s">
        <v>0</v>
      </c>
      <c r="D27" s="252"/>
      <c r="E27" s="20">
        <f>(Założenia!D314*Założenia!D$341+Założenia!D326*Założenia!D$345)*Założenia!$E$157</f>
        <v>0</v>
      </c>
      <c r="F27" s="20">
        <f>(Założenia!E314*Założenia!E$341+Założenia!E326*Założenia!E$345)*Założenia!$E$157</f>
        <v>0</v>
      </c>
      <c r="G27" s="20">
        <f>(Założenia!F314*Założenia!F$341+Założenia!F326*Założenia!F$345)*Założenia!$E$157</f>
        <v>0</v>
      </c>
      <c r="H27" s="20">
        <f>(Założenia!G314*Założenia!G$341+Założenia!G326*Założenia!G$345)*Założenia!$E$157</f>
        <v>0</v>
      </c>
      <c r="I27" s="20">
        <f>(Założenia!H314*Założenia!H$341+Założenia!H326*Założenia!H$345)*Założenia!$E$157</f>
        <v>0</v>
      </c>
      <c r="J27" s="20">
        <f>(Założenia!I314*Założenia!I$341+Założenia!I326*Założenia!I$345)*Założenia!$E$157</f>
        <v>0</v>
      </c>
      <c r="K27" s="20">
        <f>(Założenia!J314*Założenia!J$341+Założenia!J326*Założenia!J$345)*Założenia!$E$157</f>
        <v>0</v>
      </c>
      <c r="L27" s="20">
        <f>(Założenia!K314*Założenia!K$341+Założenia!K326*Założenia!K$345)*Założenia!$E$157</f>
        <v>0</v>
      </c>
      <c r="M27" s="20">
        <f>(Założenia!L314*Założenia!L$341+Założenia!L326*Założenia!L$345)*Założenia!$E$157</f>
        <v>0</v>
      </c>
      <c r="N27" s="20">
        <f>(Założenia!M314*Założenia!M$341+Założenia!M326*Założenia!M$345)*Założenia!$E$157</f>
        <v>0</v>
      </c>
      <c r="O27" s="20">
        <f>(Założenia!N314*Założenia!N$341+Założenia!N326*Założenia!N$345)*Założenia!$E$157</f>
        <v>0</v>
      </c>
      <c r="P27" s="20">
        <f>(Założenia!O314*Założenia!O$341+Założenia!O326*Założenia!O$345)*Założenia!$E$157</f>
        <v>0</v>
      </c>
      <c r="Q27" s="20">
        <f>(Założenia!P314*Założenia!P$341+Założenia!P326*Założenia!P$345)*Założenia!$E$157</f>
        <v>0</v>
      </c>
      <c r="R27" s="20">
        <f>(Założenia!Q314*Założenia!Q$341+Założenia!Q326*Założenia!Q$345)*Założenia!$E$157</f>
        <v>0</v>
      </c>
      <c r="S27" s="20">
        <f>(Założenia!R314*Założenia!R$341+Założenia!R326*Założenia!R$345)*Założenia!$E$157</f>
        <v>0</v>
      </c>
      <c r="T27" s="20">
        <f>(Założenia!S314*Założenia!S$341+Założenia!S326*Założenia!S$345)*Założenia!$E$157</f>
        <v>0</v>
      </c>
    </row>
    <row r="28" spans="1:20" s="1" customFormat="1" ht="12">
      <c r="A28" s="82"/>
      <c r="B28" s="93" t="s">
        <v>364</v>
      </c>
      <c r="C28" s="175" t="s">
        <v>0</v>
      </c>
      <c r="D28" s="252"/>
      <c r="E28" s="20">
        <f>(Założenia!D315*Założenia!D$341+Założenia!D327*Założenia!D$345)*Założenia!$E$157</f>
        <v>0</v>
      </c>
      <c r="F28" s="20">
        <f>(Założenia!E315*Założenia!E$341+Założenia!E327*Założenia!E$345)*Założenia!$E$157</f>
        <v>0</v>
      </c>
      <c r="G28" s="20">
        <f>(Założenia!F315*Założenia!F$341+Założenia!F327*Założenia!F$345)*Założenia!$E$157</f>
        <v>0</v>
      </c>
      <c r="H28" s="20">
        <f>(Założenia!G315*Założenia!G$341+Założenia!G327*Założenia!G$345)*Założenia!$E$157</f>
        <v>0</v>
      </c>
      <c r="I28" s="20">
        <f>(Założenia!H315*Założenia!H$341+Założenia!H327*Założenia!H$345)*Założenia!$E$157</f>
        <v>0</v>
      </c>
      <c r="J28" s="20">
        <f>(Założenia!I315*Założenia!I$341+Założenia!I327*Założenia!I$345)*Założenia!$E$157</f>
        <v>0</v>
      </c>
      <c r="K28" s="20">
        <f>(Założenia!J315*Założenia!J$341+Założenia!J327*Założenia!J$345)*Założenia!$E$157</f>
        <v>0</v>
      </c>
      <c r="L28" s="20">
        <f>(Założenia!K315*Założenia!K$341+Założenia!K327*Założenia!K$345)*Założenia!$E$157</f>
        <v>0</v>
      </c>
      <c r="M28" s="20">
        <f>(Założenia!L315*Założenia!L$341+Założenia!L327*Założenia!L$345)*Założenia!$E$157</f>
        <v>0</v>
      </c>
      <c r="N28" s="20">
        <f>(Założenia!M315*Założenia!M$341+Założenia!M327*Założenia!M$345)*Założenia!$E$157</f>
        <v>0</v>
      </c>
      <c r="O28" s="20">
        <f>(Założenia!N315*Założenia!N$341+Założenia!N327*Założenia!N$345)*Założenia!$E$157</f>
        <v>0</v>
      </c>
      <c r="P28" s="20">
        <f>(Założenia!O315*Założenia!O$341+Założenia!O327*Założenia!O$345)*Założenia!$E$157</f>
        <v>0</v>
      </c>
      <c r="Q28" s="20">
        <f>(Założenia!P315*Założenia!P$341+Założenia!P327*Założenia!P$345)*Założenia!$E$157</f>
        <v>0</v>
      </c>
      <c r="R28" s="20">
        <f>(Założenia!Q315*Założenia!Q$341+Założenia!Q327*Założenia!Q$345)*Założenia!$E$157</f>
        <v>0</v>
      </c>
      <c r="S28" s="20">
        <f>(Założenia!R315*Założenia!R$341+Założenia!R327*Założenia!R$345)*Założenia!$E$157</f>
        <v>0</v>
      </c>
      <c r="T28" s="20">
        <f>(Założenia!S315*Założenia!S$341+Założenia!S327*Założenia!S$345)*Założenia!$E$157</f>
        <v>0</v>
      </c>
    </row>
    <row r="29" spans="1:20" s="1" customFormat="1" ht="12">
      <c r="A29" s="82"/>
      <c r="B29" s="93" t="s">
        <v>365</v>
      </c>
      <c r="C29" s="175" t="s">
        <v>0</v>
      </c>
      <c r="D29" s="252"/>
      <c r="E29" s="20">
        <f>(Założenia!D316*Założenia!D$341+Założenia!D318*Założenia!D$341+Założenia!D328*Założenia!D$345)*Założenia!$E$157</f>
        <v>35422.557313246063</v>
      </c>
      <c r="F29" s="20">
        <f>(Założenia!E316*Założenia!E$341+Założenia!E318*Założenia!E$341+Założenia!E328*Założenia!E$345)*Założenia!$E$157</f>
        <v>34951.410979736473</v>
      </c>
      <c r="G29" s="20">
        <f>(Założenia!F316*Założenia!F$341+Założenia!F318*Założenia!F$341+Założenia!F328*Założenia!F$345)*Założenia!$E$157</f>
        <v>34951.410979736473</v>
      </c>
      <c r="H29" s="20">
        <f>(Założenia!G316*Założenia!G$341+Założenia!G318*Założenia!G$341+Założenia!G328*Założenia!G$345)*Założenia!$E$157</f>
        <v>33522.292002950358</v>
      </c>
      <c r="I29" s="20">
        <f>(Założenia!H316*Założenia!H$341+Założenia!H318*Założenia!H$341+Założenia!H328*Założenia!H$345)*Założenia!$E$157</f>
        <v>33522.292002950358</v>
      </c>
      <c r="J29" s="20">
        <f>(Założenia!I316*Założenia!I$341+Założenia!I318*Założenia!I$341+Założenia!I328*Założenia!I$345)*Założenia!$E$157</f>
        <v>33522.292002950358</v>
      </c>
      <c r="K29" s="20">
        <f>(Założenia!J316*Założenia!J$341+Założenia!J318*Założenia!J$341+Założenia!J328*Założenia!J$345)*Założenia!$E$157</f>
        <v>0</v>
      </c>
      <c r="L29" s="20">
        <f>(Założenia!K316*Założenia!K$341+Założenia!K318*Założenia!K$341+Założenia!K328*Założenia!K$345)*Założenia!$E$157</f>
        <v>0</v>
      </c>
      <c r="M29" s="20">
        <f>(Założenia!L316*Założenia!L$341+Założenia!L318*Założenia!L$341+Założenia!L328*Założenia!L$345)*Założenia!$E$157</f>
        <v>0</v>
      </c>
      <c r="N29" s="20">
        <f>(Założenia!M316*Założenia!M$341+Założenia!M318*Założenia!M$341+Założenia!M328*Założenia!M$345)*Założenia!$E$157</f>
        <v>0</v>
      </c>
      <c r="O29" s="20">
        <f>(Założenia!N316*Założenia!N$341+Założenia!N318*Założenia!N$341+Założenia!N328*Założenia!N$345)*Założenia!$E$157</f>
        <v>0</v>
      </c>
      <c r="P29" s="20">
        <f>(Założenia!O316*Założenia!O$341+Założenia!O318*Założenia!O$341+Założenia!O328*Założenia!O$345)*Założenia!$E$157</f>
        <v>0</v>
      </c>
      <c r="Q29" s="20">
        <f>(Założenia!P316*Założenia!P$341+Założenia!P318*Założenia!P$341+Założenia!P328*Założenia!P$345)*Założenia!$E$157</f>
        <v>0</v>
      </c>
      <c r="R29" s="20">
        <f>(Założenia!Q316*Założenia!Q$341+Założenia!Q318*Założenia!Q$341+Założenia!Q328*Założenia!Q$345)*Założenia!$E$157</f>
        <v>0</v>
      </c>
      <c r="S29" s="20">
        <f>(Założenia!R316*Założenia!R$341+Założenia!R318*Założenia!R$341+Założenia!R328*Założenia!R$345)*Założenia!$E$157</f>
        <v>0</v>
      </c>
      <c r="T29" s="20">
        <f>(Założenia!S316*Założenia!S$341+Założenia!S318*Założenia!S$341+Założenia!S328*Założenia!S$345)*Założenia!$E$157</f>
        <v>0</v>
      </c>
    </row>
    <row r="30" spans="1:20" s="1" customFormat="1" ht="12">
      <c r="A30" s="82"/>
      <c r="B30" s="93" t="s">
        <v>367</v>
      </c>
      <c r="C30" s="175" t="s">
        <v>0</v>
      </c>
      <c r="D30" s="252"/>
      <c r="E30" s="20">
        <f>(Założenia!D317*Założenia!D$341+Założenia!D319*Założenia!D$341+Założenia!D329*Założenia!D$345+Założenia!D330*Założenia!D$345)*Założenia!$E$157</f>
        <v>308512.76486678259</v>
      </c>
      <c r="F30" s="20">
        <f>(Założenia!E317*Założenia!E$341+Założenia!E319*Założenia!E$341+Założenia!E329*Założenia!E$345+Założenia!E330*Założenia!E$345)*Założenia!$E$157</f>
        <v>305214.74053221539</v>
      </c>
      <c r="G30" s="20">
        <f>(Założenia!F317*Założenia!F$341+Założenia!F319*Założenia!F$341+Założenia!F329*Założenia!F$345+Założenia!F330*Założenia!F$345)*Założenia!$E$157</f>
        <v>305214.74053221539</v>
      </c>
      <c r="H30" s="20">
        <f>(Założenia!G317*Założenia!G$341+Założenia!G319*Założenia!G$341+Założenia!G329*Założenia!G$345+Założenia!G330*Założenia!G$345)*Założenia!$E$157</f>
        <v>212044.15112078958</v>
      </c>
      <c r="I30" s="20">
        <f>(Założenia!H317*Założenia!H$341+Założenia!H319*Założenia!H$341+Założenia!H329*Założenia!H$345+Założenia!H330*Założenia!H$345)*Założenia!$E$157</f>
        <v>212044.15112078958</v>
      </c>
      <c r="J30" s="20">
        <f>(Założenia!I317*Założenia!I$341+Założenia!I319*Założenia!I$341+Założenia!I329*Założenia!I$345+Założenia!I330*Założenia!I$345)*Założenia!$E$157</f>
        <v>212044.15112078958</v>
      </c>
      <c r="K30" s="20">
        <f>(Założenia!J317*Założenia!J$341+Założenia!J319*Założenia!J$341+Założenia!J329*Założenia!J$345+Założenia!J330*Założenia!J$345)*Założenia!$E$157</f>
        <v>245566.44312373997</v>
      </c>
      <c r="L30" s="20">
        <f>(Założenia!K317*Założenia!K$341+Założenia!K319*Założenia!K$341+Założenia!K329*Założenia!K$345+Założenia!K330*Założenia!K$345)*Założenia!$E$157</f>
        <v>245566.44312373997</v>
      </c>
      <c r="M30" s="20">
        <f>(Założenia!L317*Założenia!L$341+Założenia!L319*Założenia!L$341+Założenia!L329*Założenia!L$345+Założenia!L330*Założenia!L$345)*Założenia!$E$157</f>
        <v>245566.44312373997</v>
      </c>
      <c r="N30" s="20">
        <f>(Założenia!M317*Założenia!M$341+Założenia!M319*Założenia!M$341+Założenia!M329*Założenia!M$345+Założenia!M330*Założenia!M$345)*Założenia!$E$157</f>
        <v>245566.44312373997</v>
      </c>
      <c r="O30" s="20">
        <f>(Założenia!N317*Założenia!N$341+Założenia!N319*Założenia!N$341+Założenia!N329*Założenia!N$345+Założenia!N330*Założenia!N$345)*Założenia!$E$157</f>
        <v>245566.44312373997</v>
      </c>
      <c r="P30" s="20">
        <f>(Założenia!O317*Założenia!O$341+Założenia!O319*Założenia!O$341+Założenia!O329*Założenia!O$345+Założenia!O330*Założenia!O$345)*Założenia!$E$157</f>
        <v>245566.44312373997</v>
      </c>
      <c r="Q30" s="20">
        <f>(Założenia!P317*Założenia!P$341+Założenia!P319*Założenia!P$341+Założenia!P329*Założenia!P$345+Założenia!P330*Założenia!P$345)*Założenia!$E$157</f>
        <v>245566.44312373997</v>
      </c>
      <c r="R30" s="20">
        <f>(Założenia!Q317*Założenia!Q$341+Założenia!Q319*Założenia!Q$341+Założenia!Q329*Założenia!Q$345+Założenia!Q330*Założenia!Q$345)*Założenia!$E$157</f>
        <v>245566.44312373997</v>
      </c>
      <c r="S30" s="20">
        <f>(Założenia!R317*Założenia!R$341+Założenia!R319*Założenia!R$341+Założenia!R329*Założenia!R$345+Założenia!R330*Założenia!R$345)*Założenia!$E$157</f>
        <v>245566.44312373997</v>
      </c>
      <c r="T30" s="20">
        <f>(Założenia!S317*Założenia!S$341+Założenia!S319*Założenia!S$341+Założenia!S329*Założenia!S$345+Założenia!S330*Założenia!S$345)*Założenia!$E$157</f>
        <v>245566.44312373997</v>
      </c>
    </row>
    <row r="31" spans="1:20" s="1" customFormat="1" ht="12">
      <c r="A31" s="82"/>
      <c r="B31" s="94" t="s">
        <v>313</v>
      </c>
      <c r="C31" s="175" t="s">
        <v>0</v>
      </c>
      <c r="D31" s="252"/>
      <c r="E31" s="20">
        <f>Założenia!D321*Założenia!D343*Założenia!$E$157*Założenia!$E$160+Założenia!D331*Założenia!D346*Założenia!$E$157*Założenia!$E$160</f>
        <v>19500.376322861517</v>
      </c>
      <c r="F31" s="20">
        <f>Założenia!E321*Założenia!E343*Założenia!$E$157*Założenia!$E$160+Założenia!E331*Założenia!E346*Założenia!$E$157*Założenia!$E$160</f>
        <v>19500.376322861517</v>
      </c>
      <c r="G31" s="20">
        <f>Założenia!F321*Założenia!F343*Założenia!$E$157*Założenia!$E$160+Założenia!F331*Założenia!F346*Założenia!$E$157*Założenia!$E$160</f>
        <v>19500.376322861517</v>
      </c>
      <c r="H31" s="20">
        <f>Założenia!G321*Założenia!G343*Założenia!$E$157*Założenia!$E$160+Założenia!G331*Założenia!G346*Założenia!$E$157*Założenia!$E$160</f>
        <v>85720.17219460987</v>
      </c>
      <c r="I31" s="20">
        <f>Założenia!H321*Założenia!H343*Założenia!$E$157*Założenia!$E$160+Założenia!H331*Założenia!H346*Założenia!$E$157*Założenia!$E$160</f>
        <v>85720.17219460987</v>
      </c>
      <c r="J31" s="20">
        <f>Założenia!I321*Założenia!I343*Założenia!$E$157*Założenia!$E$160+Założenia!I331*Założenia!I346*Założenia!$E$157*Założenia!$E$160</f>
        <v>85720.17219460987</v>
      </c>
      <c r="K31" s="20">
        <f>Założenia!J321*Założenia!J343*Założenia!$E$157*Założenia!$E$160+Założenia!J331*Założenia!J346*Założenia!$E$157*Założenia!$E$160</f>
        <v>85720.17219460987</v>
      </c>
      <c r="L31" s="20">
        <f>Założenia!K321*Założenia!K343*Założenia!$E$157*Założenia!$E$160+Założenia!K331*Założenia!K346*Założenia!$E$157*Założenia!$E$160</f>
        <v>85720.17219460987</v>
      </c>
      <c r="M31" s="20">
        <f>Założenia!L321*Założenia!L343*Założenia!$E$157*Założenia!$E$160+Założenia!L331*Założenia!L346*Założenia!$E$157*Założenia!$E$160</f>
        <v>85720.17219460987</v>
      </c>
      <c r="N31" s="20">
        <f>Założenia!M321*Założenia!M343*Założenia!$E$157*Założenia!$E$160+Założenia!M331*Założenia!M346*Założenia!$E$157*Założenia!$E$160</f>
        <v>85720.17219460987</v>
      </c>
      <c r="O31" s="20">
        <f>Założenia!N321*Założenia!N343*Założenia!$E$157*Założenia!$E$160+Założenia!N331*Założenia!N346*Założenia!$E$157*Założenia!$E$160</f>
        <v>85720.17219460987</v>
      </c>
      <c r="P31" s="20">
        <f>Założenia!O321*Założenia!O343*Założenia!$E$157*Założenia!$E$160+Założenia!O331*Założenia!O346*Założenia!$E$157*Założenia!$E$160</f>
        <v>85720.17219460987</v>
      </c>
      <c r="Q31" s="20">
        <f>Założenia!P321*Założenia!P343*Założenia!$E$157*Założenia!$E$160+Założenia!P331*Założenia!P346*Założenia!$E$157*Założenia!$E$160</f>
        <v>85720.17219460987</v>
      </c>
      <c r="R31" s="20">
        <f>Założenia!Q321*Założenia!Q343*Założenia!$E$157*Założenia!$E$160+Założenia!Q331*Założenia!Q346*Założenia!$E$157*Założenia!$E$160</f>
        <v>85720.17219460987</v>
      </c>
      <c r="S31" s="20">
        <f>Założenia!R321*Założenia!R343*Założenia!$E$157*Założenia!$E$160+Założenia!R331*Założenia!R346*Założenia!$E$157*Założenia!$E$160</f>
        <v>85720.17219460987</v>
      </c>
      <c r="T31" s="20">
        <f>Założenia!S321*Założenia!S343*Założenia!$E$157*Założenia!$E$160+Założenia!S331*Założenia!S346*Założenia!$E$157*Założenia!$E$160</f>
        <v>85720.17219460987</v>
      </c>
    </row>
    <row r="32" spans="1:20" s="11" customFormat="1" ht="12">
      <c r="A32" s="37" t="s">
        <v>49</v>
      </c>
      <c r="B32" s="101" t="s">
        <v>6</v>
      </c>
      <c r="C32" s="253" t="s">
        <v>0</v>
      </c>
      <c r="D32" s="254"/>
      <c r="E32" s="19">
        <f>(((SUM(Założenia!D312:D316)+Założenia!D318)*Założenia!D341+SUM(Założenia!D324:D328)*Założenia!D345)*Założenia!$E$158+((Założenia!D317+Założenia!D319)*Założenia!D341+(Założenia!D329+Założenia!D330)*Założenia!D345)*Założenia!$E$158+(Założenia!D321*Założenia!D343+Założenia!D331*Założenia!D346)*Założenia!$E$158*Założenia!$E$160)*(1+(Założenia!D347-Założenia!$D$347)*Założenia!$E$162)+Opcje!E79*Założenia!$E$183+Opcje!E80*Założenia!$E$182+Założenia!$H$183*Założenia!$E$183</f>
        <v>406903.45784096245</v>
      </c>
      <c r="F32" s="19">
        <f>(((SUM(Założenia!E312:E316)+Założenia!E318)*Założenia!E341+SUM(Założenia!E324:E328)*Założenia!E345)*Założenia!$E$158+((Założenia!E317+Założenia!E319)*Założenia!E341+(Założenia!E329+Założenia!E330)*Założenia!E345)*Założenia!$E$158+(Założenia!E321*Założenia!E343+Założenia!E331*Założenia!E346)*Założenia!$E$158*Założenia!$E$160)*(1+(Założenia!E347-Założenia!$D$347)*Założenia!$E$162)+Opcje!F79*Założenia!$E$183+Opcje!F80*Założenia!$E$182+Założenia!$H$183*Założenia!$E$183</f>
        <v>422270.11267735582</v>
      </c>
      <c r="G32" s="19">
        <f>(((SUM(Założenia!F312:F316)+Założenia!F318)*Założenia!F341+SUM(Założenia!F324:F328)*Założenia!F345)*Założenia!$E$158+((Założenia!F317+Założenia!F319)*Założenia!F341+(Założenia!F329+Założenia!F330)*Założenia!F345)*Założenia!$E$158*Założenia!$E$161+(Założenia!F321*Założenia!F343+Założenia!F331*Założenia!F346)*Założenia!$E$158*Założenia!$E$160)*(1+(Założenia!F347-Założenia!$D$347)*Założenia!$E$162)+Opcje!G79*Założenia!$E$183+Opcje!G80*Założenia!$E$182+Założenia!$H$183*Założenia!$E$183</f>
        <v>399767.83614105871</v>
      </c>
      <c r="H32" s="19">
        <f>(((SUM(Założenia!G312:G316)+Założenia!G318)*Założenia!G341+SUM(Założenia!G324:G328)*Założenia!G345)*Założenia!$E$158+((Założenia!G317+Założenia!G319)*Założenia!G341+(Założenia!G329+Założenia!G330)*Założenia!G345)*Założenia!$E$158*Założenia!$E$161+(Założenia!G321*Założenia!G343+Założenia!G331*Założenia!G346)*Założenia!$E$158*Założenia!$E$160)*(1+(Założenia!G347-Założenia!$D$347)*Założenia!$E$162)+Opcje!H79*Założenia!$E$183+Opcje!H80*Założenia!$E$182+Założenia!$H$183*Założenia!$E$183</f>
        <v>320198.52561065165</v>
      </c>
      <c r="I32" s="19">
        <f>(((SUM(Założenia!H312:H316)+Założenia!H318)*Założenia!H341+SUM(Założenia!H324:H328)*Założenia!H345)*Założenia!$E$158+((Założenia!H317+Założenia!H319)*Założenia!H341+(Założenia!H329+Założenia!H330)*Założenia!H345)*Założenia!$E$158*Założenia!$E$161+(Założenia!H321*Założenia!H343+Założenia!H331*Założenia!H346)*Założenia!$E$158*Założenia!$E$160)*(1+(Założenia!H347-Założenia!$D$347)*Założenia!$E$162)+Opcje!I79*Założenia!$E$183+Opcje!I80*Założenia!$E$182+Założenia!$H$183*Założenia!$E$183</f>
        <v>336386.633321475</v>
      </c>
      <c r="J32" s="19">
        <f>(((SUM(Założenia!I312:I316)+Założenia!I318)*Założenia!I341+SUM(Założenia!I324:I328)*Założenia!I345)*Założenia!$E$158+((Założenia!I317+Założenia!I319)*Założenia!I341+(Założenia!I329+Założenia!I330)*Założenia!I345)*Założenia!$E$158*Założenia!$E$161+(Założenia!I321*Założenia!I343+Założenia!I331*Założenia!I346)*Założenia!$E$158*Założenia!$E$160)*(1+(Założenia!I347-Założenia!$D$347)*Założenia!$E$162)+Opcje!J79*Założenia!$E$183+Opcje!J80*Założenia!$E$182+Założenia!$H$183*Założenia!$E$183</f>
        <v>352574.74103229831</v>
      </c>
      <c r="K32" s="19">
        <f>(((SUM(Założenia!J312:J316)+Założenia!J318)*Założenia!J341+SUM(Założenia!J324:J328)*Założenia!J345)*Założenia!$E$158+((Założenia!J317+Założenia!J319)*Założenia!J341+(Założenia!J329+Założenia!J330)*Założenia!J345)*Założenia!$E$158*Założenia!$E$161+(Założenia!J321*Założenia!J343+Założenia!J331*Założenia!J346)*Założenia!$E$158*Założenia!$E$160)*(1+(Założenia!J347-Założenia!$D$347)*Założenia!$E$162)+Opcje!K79*Założenia!$E$183+Opcje!K80*Założenia!$E$182+Założenia!$H$183*Założenia!$E$183</f>
        <v>351647.38058316457</v>
      </c>
      <c r="L32" s="19">
        <f>(((SUM(Założenia!K312:K316)+Założenia!K318)*Założenia!K341+SUM(Założenia!K324:K328)*Założenia!K345)*Założenia!$E$158+((Założenia!K317+Założenia!K319)*Założenia!K341+(Założenia!K329+Założenia!K330)*Założenia!K345)*Założenia!$E$158*Założenia!$E$161+(Założenia!K321*Założenia!K343+Założenia!K331*Założenia!K346)*Założenia!$E$158*Założenia!$E$160)*(1+(Założenia!K347-Założenia!$D$347)*Założenia!$E$162)+Opcje!L79*Założenia!$E$183+Opcje!L80*Założenia!$E$182+Założenia!$H$183*Założenia!$E$183</f>
        <v>367563.6859263964</v>
      </c>
      <c r="M32" s="19">
        <f>(((SUM(Założenia!L312:L316)+Założenia!L318)*Założenia!L341+SUM(Założenia!L324:L328)*Założenia!L345)*Założenia!$E$158+((Założenia!L317+Założenia!L319)*Założenia!L341+(Założenia!L329+Założenia!L330)*Założenia!L345)*Założenia!$E$158*Założenia!$E$161+(Założenia!L321*Założenia!L343+Założenia!L331*Założenia!L346)*Założenia!$E$158*Założenia!$E$160)*(1+(Założenia!L347-Założenia!$D$347)*Założenia!$E$162)+Opcje!M79*Założenia!$E$183+Opcje!M80*Założenia!$E$182+Założenia!$H$183*Założenia!$E$183</f>
        <v>383479.99126962823</v>
      </c>
      <c r="N32" s="19">
        <f>(((SUM(Założenia!M312:M316)+Założenia!M318)*Założenia!M341+SUM(Założenia!M324:M328)*Założenia!M345)*Założenia!$E$158+((Założenia!M317+Założenia!M319)*Założenia!M341+(Założenia!M329+Założenia!M330)*Założenia!M345)*Założenia!$E$158*Założenia!$E$161+(Założenia!M321*Założenia!M343+Założenia!M331*Założenia!M346)*Założenia!$E$158*Założenia!$E$160)*(1+(Założenia!M347-Założenia!$D$347)*Założenia!$E$162)+Opcje!N79*Założenia!$E$183+Opcje!N80*Założenia!$E$182+Założenia!$H$183*Założenia!$E$183</f>
        <v>399396.29661286011</v>
      </c>
      <c r="O32" s="19">
        <f>(((SUM(Założenia!N312:N316)+Założenia!N318)*Założenia!N341+SUM(Założenia!N324:N328)*Założenia!N345)*Założenia!$E$158+((Założenia!N317+Założenia!N319)*Założenia!N341+(Założenia!N329+Założenia!N330)*Założenia!N345)*Założenia!$E$158*Założenia!$E$161+(Założenia!N321*Założenia!N343+Założenia!N331*Założenia!N346)*Założenia!$E$158*Założenia!$E$160)*(1+(Założenia!N347-Założenia!$D$347)*Założenia!$E$162)+Opcje!O79*Założenia!$E$183+Opcje!O80*Założenia!$E$182+Założenia!$H$183*Założenia!$E$183</f>
        <v>415312.60195609194</v>
      </c>
      <c r="P32" s="19">
        <f>(((SUM(Założenia!O312:O316)+Założenia!O318)*Założenia!O341+SUM(Założenia!O324:O328)*Założenia!O345)*Założenia!$E$158+((Założenia!O317+Założenia!O319)*Założenia!O341+(Założenia!O329+Założenia!O330)*Założenia!O345)*Założenia!$E$158*Założenia!$E$161+(Założenia!O321*Założenia!O343+Założenia!O331*Założenia!O346)*Założenia!$E$158*Założenia!$E$160)*(1+(Założenia!O347-Założenia!$D$347)*Założenia!$E$162)+Opcje!P79*Założenia!$E$183+Opcje!P80*Założenia!$E$182+Założenia!$H$183*Założenia!$E$183</f>
        <v>363016.17011404445</v>
      </c>
      <c r="Q32" s="19">
        <f>(((SUM(Założenia!P312:P316)+Założenia!P318)*Założenia!P341+SUM(Założenia!P324:P328)*Założenia!P345)*Założenia!$E$158+((Założenia!P317+Założenia!P319)*Założenia!P341+(Założenia!P329+Założenia!P330)*Założenia!P345)*Założenia!$E$158*Założenia!$E$161+(Założenia!P321*Założenia!P343+Założenia!P331*Założenia!P346)*Założenia!$E$158*Założenia!$E$160)*(1+(Założenia!P347-Założenia!$D$347)*Założenia!$E$162)+Opcje!Q79*Założenia!$E$183+Opcje!Q80*Założenia!$E$182+Założenia!$H$183*Założenia!$E$183</f>
        <v>378932.47545727633</v>
      </c>
      <c r="R32" s="19">
        <f>(((SUM(Założenia!Q312:Q316)+Założenia!Q318)*Założenia!Q341+SUM(Założenia!Q324:Q328)*Założenia!Q345)*Założenia!$E$158+((Założenia!Q317+Założenia!Q319)*Założenia!Q341+(Założenia!Q329+Założenia!Q330)*Założenia!Q345)*Założenia!$E$158*Założenia!$E$161+(Założenia!Q321*Założenia!Q343+Założenia!Q331*Założenia!Q346)*Założenia!$E$158*Założenia!$E$160)*(1+(Założenia!Q347-Założenia!$D$347)*Założenia!$E$162)+Opcje!R79*Założenia!$E$183+Opcje!R80*Założenia!$E$182+Założenia!$H$183*Założenia!$E$183</f>
        <v>373627.04034286563</v>
      </c>
      <c r="S32" s="19">
        <f>(((SUM(Założenia!R312:R316)+Założenia!R318)*Założenia!R341+SUM(Założenia!R324:R328)*Założenia!R345)*Założenia!$E$158+((Założenia!R317+Założenia!R319)*Założenia!R341+(Założenia!R329+Założenia!R330)*Założenia!R345)*Założenia!$E$158*Założenia!$E$161+(Założenia!R321*Założenia!R343+Założenia!R331*Założenia!R346)*Założenia!$E$158*Założenia!$E$160)*(1+(Założenia!R347-Założenia!$D$347)*Założenia!$E$162)+Opcje!S79*Założenia!$E$183+Opcje!S80*Założenia!$E$182+Założenia!$H$183*Założenia!$E$183</f>
        <v>389543.34568609751</v>
      </c>
      <c r="T32" s="19">
        <f>(((SUM(Założenia!S312:S316)+Założenia!S318)*Założenia!S341+SUM(Założenia!S324:S328)*Założenia!S345)*Założenia!$E$158+((Założenia!S317+Założenia!S319)*Założenia!S341+(Założenia!S329+Założenia!S330)*Założenia!S345)*Założenia!$E$158*Założenia!$E$161+(Założenia!S321*Założenia!S343+Założenia!S331*Założenia!S346)*Założenia!$E$158*Założenia!$E$160)*(1+(Założenia!S347-Założenia!$D$347)*Założenia!$E$162)+Opcje!T79*Założenia!$E$183+Opcje!T80*Założenia!$E$182+Założenia!$H$183*Założenia!$E$183</f>
        <v>378174.55615521764</v>
      </c>
    </row>
    <row r="33" spans="1:21" s="11" customFormat="1" ht="12">
      <c r="A33" s="37" t="s">
        <v>60</v>
      </c>
      <c r="B33" s="101" t="s">
        <v>7</v>
      </c>
      <c r="C33" s="253" t="s">
        <v>0</v>
      </c>
      <c r="D33" s="254"/>
      <c r="E33" s="19">
        <f>Założenia!$F$198-Założenia!$G$209*(Założenia!D311+Założenia!D323)</f>
        <v>31748.132442352944</v>
      </c>
      <c r="F33" s="19">
        <f>Założenia!$F$198-Założenia!$G$209*(Założenia!E311+Założenia!E323)</f>
        <v>31748.132442352944</v>
      </c>
      <c r="G33" s="19">
        <f>Założenia!$F$198-Założenia!$G$209*(Założenia!F311+Założenia!F323)</f>
        <v>31748.132442352944</v>
      </c>
      <c r="H33" s="19">
        <f>Założenia!$F$198-Założenia!$G$209*(Założenia!G311+Założenia!G323)</f>
        <v>37210.748236470594</v>
      </c>
      <c r="I33" s="19">
        <f>Założenia!$F$198-Założenia!$G$209*(Założenia!H311+Założenia!H323)</f>
        <v>37210.748236470594</v>
      </c>
      <c r="J33" s="19">
        <f>Założenia!$F$198-Założenia!$G$209*(Założenia!I311+Założenia!I323)</f>
        <v>37210.748236470594</v>
      </c>
      <c r="K33" s="19">
        <f>Założenia!$F$198-Założenia!$G$209*(Założenia!J311+Założenia!J323)</f>
        <v>37210.748236470594</v>
      </c>
      <c r="L33" s="19">
        <f>Założenia!$F$198-Założenia!$G$209*(Założenia!K311+Założenia!K323)</f>
        <v>37210.748236470594</v>
      </c>
      <c r="M33" s="19">
        <f>Założenia!$F$198-Założenia!$G$209*(Założenia!L311+Założenia!L323)</f>
        <v>37210.748236470594</v>
      </c>
      <c r="N33" s="19">
        <f>Założenia!$F$198-Założenia!$G$209*(Założenia!M311+Założenia!M323)</f>
        <v>37210.748236470594</v>
      </c>
      <c r="O33" s="19">
        <f>Założenia!$F$198-Założenia!$G$209*(Założenia!N311+Założenia!N323)</f>
        <v>37210.748236470594</v>
      </c>
      <c r="P33" s="19">
        <f>Założenia!$F$198-Założenia!$G$209*(Założenia!O311+Założenia!O323)</f>
        <v>37210.748236470594</v>
      </c>
      <c r="Q33" s="19">
        <f>Założenia!$F$198-Założenia!$G$209*(Założenia!P311+Założenia!P323)</f>
        <v>37210.748236470594</v>
      </c>
      <c r="R33" s="19">
        <f>Założenia!$F$198-Założenia!$G$209*(Założenia!Q311+Założenia!Q323)</f>
        <v>37210.748236470594</v>
      </c>
      <c r="S33" s="19">
        <f>Założenia!$F$198-Założenia!$G$209*(Założenia!R311+Założenia!R323)</f>
        <v>37210.748236470594</v>
      </c>
      <c r="T33" s="19">
        <f>Założenia!$F$198-Założenia!$G$209*(Założenia!S311+Założenia!S323)</f>
        <v>37210.748236470594</v>
      </c>
    </row>
    <row r="34" spans="1:21" s="11" customFormat="1" ht="12">
      <c r="A34" s="37" t="s">
        <v>68</v>
      </c>
      <c r="B34" s="133" t="s">
        <v>9</v>
      </c>
      <c r="C34" s="253" t="s">
        <v>0</v>
      </c>
      <c r="D34" s="254"/>
      <c r="E34" s="19">
        <f>Założenia!$F$188</f>
        <v>2074596.3223008001</v>
      </c>
      <c r="F34" s="19">
        <f>Założenia!$G$188</f>
        <v>2074596.3223008001</v>
      </c>
      <c r="G34" s="19">
        <f>Założenia!$G$188</f>
        <v>2074596.3223008001</v>
      </c>
      <c r="H34" s="19">
        <f>Założenia!$G$188</f>
        <v>2074596.3223008001</v>
      </c>
      <c r="I34" s="19">
        <f>Założenia!$G$188</f>
        <v>2074596.3223008001</v>
      </c>
      <c r="J34" s="19">
        <f>Założenia!$G$188</f>
        <v>2074596.3223008001</v>
      </c>
      <c r="K34" s="19">
        <f>Założenia!$G$188</f>
        <v>2074596.3223008001</v>
      </c>
      <c r="L34" s="19">
        <f>Założenia!$G$188</f>
        <v>2074596.3223008001</v>
      </c>
      <c r="M34" s="19">
        <f>Założenia!$G$188</f>
        <v>2074596.3223008001</v>
      </c>
      <c r="N34" s="19">
        <f>Założenia!$G$188</f>
        <v>2074596.3223008001</v>
      </c>
      <c r="O34" s="19">
        <f>Założenia!$G$188</f>
        <v>2074596.3223008001</v>
      </c>
      <c r="P34" s="19">
        <f>Założenia!$G$188</f>
        <v>2074596.3223008001</v>
      </c>
      <c r="Q34" s="19">
        <f>Założenia!$G$188</f>
        <v>2074596.3223008001</v>
      </c>
      <c r="R34" s="19">
        <f>Założenia!$G$188</f>
        <v>2074596.3223008001</v>
      </c>
      <c r="S34" s="19">
        <f>Założenia!$G$188</f>
        <v>2074596.3223008001</v>
      </c>
      <c r="T34" s="19">
        <f>Założenia!$G$188</f>
        <v>2074596.3223008001</v>
      </c>
    </row>
    <row r="35" spans="1:21" s="11" customFormat="1" ht="12">
      <c r="A35" s="37" t="s">
        <v>69</v>
      </c>
      <c r="B35" s="94" t="s">
        <v>374</v>
      </c>
      <c r="C35" s="253" t="s">
        <v>0</v>
      </c>
      <c r="D35" s="254"/>
      <c r="E35" s="19">
        <f>Założenia!$F$189</f>
        <v>518649.08057520003</v>
      </c>
      <c r="F35" s="19">
        <f>Założenia!$G$189</f>
        <v>518649.08057520003</v>
      </c>
      <c r="G35" s="19">
        <f>Założenia!$G$189</f>
        <v>518649.08057520003</v>
      </c>
      <c r="H35" s="19">
        <f>Założenia!$G$189</f>
        <v>518649.08057520003</v>
      </c>
      <c r="I35" s="19">
        <f>Założenia!$G$189</f>
        <v>518649.08057520003</v>
      </c>
      <c r="J35" s="19">
        <f>Założenia!$G$189</f>
        <v>518649.08057520003</v>
      </c>
      <c r="K35" s="19">
        <f>Założenia!$G$189</f>
        <v>518649.08057520003</v>
      </c>
      <c r="L35" s="19">
        <f>Założenia!$G$189</f>
        <v>518649.08057520003</v>
      </c>
      <c r="M35" s="19">
        <f>Założenia!$G$189</f>
        <v>518649.08057520003</v>
      </c>
      <c r="N35" s="19">
        <f>Założenia!$G$189</f>
        <v>518649.08057520003</v>
      </c>
      <c r="O35" s="19">
        <f>Założenia!$G$189</f>
        <v>518649.08057520003</v>
      </c>
      <c r="P35" s="19">
        <f>Założenia!$G$189</f>
        <v>518649.08057520003</v>
      </c>
      <c r="Q35" s="19">
        <f>Założenia!$G$189</f>
        <v>518649.08057520003</v>
      </c>
      <c r="R35" s="19">
        <f>Założenia!$G$189</f>
        <v>518649.08057520003</v>
      </c>
      <c r="S35" s="19">
        <f>Założenia!$G$189</f>
        <v>518649.08057520003</v>
      </c>
      <c r="T35" s="19">
        <f>Założenia!$G$189</f>
        <v>518649.08057520003</v>
      </c>
    </row>
    <row r="36" spans="1:21" s="11" customFormat="1" ht="12">
      <c r="A36" s="37" t="s">
        <v>383</v>
      </c>
      <c r="B36" s="134" t="s">
        <v>8</v>
      </c>
      <c r="C36" s="253" t="s">
        <v>0</v>
      </c>
      <c r="D36" s="254"/>
      <c r="E36" s="19">
        <f>E37+E38</f>
        <v>971046.14945999987</v>
      </c>
      <c r="F36" s="19">
        <f t="shared" ref="F36:T36" si="9">F37+F38</f>
        <v>971046.14945999987</v>
      </c>
      <c r="G36" s="19">
        <f t="shared" si="9"/>
        <v>971046.14945999987</v>
      </c>
      <c r="H36" s="19">
        <f t="shared" si="9"/>
        <v>952282.48145999992</v>
      </c>
      <c r="I36" s="19">
        <f t="shared" si="9"/>
        <v>952282.48145999992</v>
      </c>
      <c r="J36" s="19">
        <f t="shared" si="9"/>
        <v>952282.48145999992</v>
      </c>
      <c r="K36" s="19">
        <f t="shared" si="9"/>
        <v>952282.48145999992</v>
      </c>
      <c r="L36" s="19">
        <f t="shared" si="9"/>
        <v>952282.48145999992</v>
      </c>
      <c r="M36" s="19">
        <f t="shared" si="9"/>
        <v>952282.48145999992</v>
      </c>
      <c r="N36" s="19">
        <f t="shared" si="9"/>
        <v>952282.48145999992</v>
      </c>
      <c r="O36" s="19">
        <f t="shared" si="9"/>
        <v>952282.48145999992</v>
      </c>
      <c r="P36" s="19">
        <f t="shared" si="9"/>
        <v>952282.48145999992</v>
      </c>
      <c r="Q36" s="19">
        <f t="shared" si="9"/>
        <v>952282.48145999992</v>
      </c>
      <c r="R36" s="19">
        <f t="shared" si="9"/>
        <v>952282.48145999992</v>
      </c>
      <c r="S36" s="19">
        <f t="shared" si="9"/>
        <v>952282.48145999992</v>
      </c>
      <c r="T36" s="19">
        <f t="shared" si="9"/>
        <v>952282.48145999992</v>
      </c>
    </row>
    <row r="37" spans="1:21" s="1" customFormat="1" ht="12">
      <c r="A37" s="82" t="s">
        <v>384</v>
      </c>
      <c r="B37" s="97" t="s">
        <v>148</v>
      </c>
      <c r="C37" s="175" t="s">
        <v>0</v>
      </c>
      <c r="D37" s="252"/>
      <c r="E37" s="20">
        <f>Założenia!$E$209*(Założenia!D311+Założenia!D323)+Założenia!$F$209*Założenia!D321</f>
        <v>82560.139200000005</v>
      </c>
      <c r="F37" s="20">
        <f>Założenia!$E$209*(Założenia!E311+Założenia!E323)+Założenia!$F$209*Założenia!E321</f>
        <v>82560.139200000005</v>
      </c>
      <c r="G37" s="20">
        <f>Założenia!$E$209*(Założenia!F311+Założenia!F323)+Założenia!$F$209*Założenia!F321</f>
        <v>82560.139200000005</v>
      </c>
      <c r="H37" s="20">
        <f>Założenia!$E$209*(Założenia!G311+Założenia!G323)+Założenia!$F$209*Założenia!G321</f>
        <v>91941.973200000008</v>
      </c>
      <c r="I37" s="20">
        <f>Założenia!$E$209*(Założenia!H311+Założenia!H323)+Założenia!$F$209*Założenia!H321</f>
        <v>91941.973200000008</v>
      </c>
      <c r="J37" s="20">
        <f>Założenia!$E$209*(Założenia!I311+Założenia!I323)+Założenia!$F$209*Założenia!I321</f>
        <v>91941.973200000008</v>
      </c>
      <c r="K37" s="20">
        <f>Założenia!$E$209*(Założenia!J311+Założenia!J323)+Założenia!$F$209*Założenia!J321</f>
        <v>91941.973200000008</v>
      </c>
      <c r="L37" s="20">
        <f>Założenia!$E$209*(Założenia!K311+Założenia!K323)+Założenia!$F$209*Założenia!K321</f>
        <v>91941.973200000008</v>
      </c>
      <c r="M37" s="20">
        <f>Założenia!$E$209*(Założenia!L311+Założenia!L323)+Założenia!$F$209*Założenia!L321</f>
        <v>91941.973200000008</v>
      </c>
      <c r="N37" s="20">
        <f>Założenia!$E$209*(Założenia!M311+Założenia!M323)+Założenia!$F$209*Założenia!M321</f>
        <v>91941.973200000008</v>
      </c>
      <c r="O37" s="20">
        <f>Założenia!$E$209*(Założenia!N311+Założenia!N323)+Założenia!$F$209*Założenia!N321</f>
        <v>91941.973200000008</v>
      </c>
      <c r="P37" s="20">
        <f>Założenia!$E$209*(Założenia!O311+Założenia!O323)+Założenia!$F$209*Założenia!O321</f>
        <v>91941.973200000008</v>
      </c>
      <c r="Q37" s="20">
        <f>Założenia!$E$209*(Założenia!P311+Założenia!P323)+Założenia!$F$209*Założenia!P321</f>
        <v>91941.973200000008</v>
      </c>
      <c r="R37" s="20">
        <f>Założenia!$E$209*(Założenia!Q311+Założenia!Q323)+Założenia!$F$209*Założenia!Q321</f>
        <v>91941.973200000008</v>
      </c>
      <c r="S37" s="20">
        <f>Założenia!$E$209*(Założenia!R311+Założenia!R323)+Założenia!$F$209*Założenia!R321</f>
        <v>91941.973200000008</v>
      </c>
      <c r="T37" s="20">
        <f>Założenia!$E$209*(Założenia!S311+Założenia!S323)+Założenia!$F$209*Założenia!S321</f>
        <v>91941.973200000008</v>
      </c>
    </row>
    <row r="38" spans="1:21" s="1" customFormat="1" ht="12">
      <c r="A38" s="82" t="s">
        <v>385</v>
      </c>
      <c r="B38" s="97" t="s">
        <v>79</v>
      </c>
      <c r="C38" s="175" t="s">
        <v>0</v>
      </c>
      <c r="D38" s="252"/>
      <c r="E38" s="20">
        <f>Założenia!$F$200-Założenia!$F$209*Założenia!D321</f>
        <v>888486.01025999989</v>
      </c>
      <c r="F38" s="20">
        <f>Założenia!$F$200-Założenia!$F$209*Założenia!E321</f>
        <v>888486.01025999989</v>
      </c>
      <c r="G38" s="20">
        <f>Założenia!$F$200-Założenia!$F$209*Założenia!F321</f>
        <v>888486.01025999989</v>
      </c>
      <c r="H38" s="20">
        <f>Założenia!$F$200-Założenia!$F$209*Założenia!G321</f>
        <v>860340.50825999992</v>
      </c>
      <c r="I38" s="20">
        <f>Założenia!$F$200-Założenia!$F$209*Założenia!H321</f>
        <v>860340.50825999992</v>
      </c>
      <c r="J38" s="20">
        <f>Założenia!$F$200-Założenia!$F$209*Założenia!I321</f>
        <v>860340.50825999992</v>
      </c>
      <c r="K38" s="20">
        <f>Założenia!$F$200-Założenia!$F$209*Założenia!J321</f>
        <v>860340.50825999992</v>
      </c>
      <c r="L38" s="20">
        <f>Założenia!$F$200-Założenia!$F$209*Założenia!K321</f>
        <v>860340.50825999992</v>
      </c>
      <c r="M38" s="20">
        <f>Założenia!$F$200-Założenia!$F$209*Założenia!L321</f>
        <v>860340.50825999992</v>
      </c>
      <c r="N38" s="20">
        <f>Założenia!$F$200-Założenia!$F$209*Założenia!M321</f>
        <v>860340.50825999992</v>
      </c>
      <c r="O38" s="20">
        <f>Założenia!$F$200-Założenia!$F$209*Założenia!N321</f>
        <v>860340.50825999992</v>
      </c>
      <c r="P38" s="20">
        <f>Założenia!$F$200-Założenia!$F$209*Założenia!O321</f>
        <v>860340.50825999992</v>
      </c>
      <c r="Q38" s="20">
        <f>Założenia!$F$200-Założenia!$F$209*Założenia!P321</f>
        <v>860340.50825999992</v>
      </c>
      <c r="R38" s="20">
        <f>Założenia!$F$200-Założenia!$F$209*Założenia!Q321</f>
        <v>860340.50825999992</v>
      </c>
      <c r="S38" s="20">
        <f>Założenia!$F$200-Założenia!$F$209*Założenia!R321</f>
        <v>860340.50825999992</v>
      </c>
      <c r="T38" s="20">
        <f>Założenia!$F$200-Założenia!$F$209*Założenia!S321</f>
        <v>860340.50825999992</v>
      </c>
    </row>
    <row r="39" spans="1:21" s="1" customFormat="1" ht="12">
      <c r="A39" s="37" t="s">
        <v>351</v>
      </c>
      <c r="B39" s="251" t="s">
        <v>380</v>
      </c>
      <c r="C39" s="175" t="s">
        <v>0</v>
      </c>
      <c r="D39" s="252"/>
      <c r="E39" s="19">
        <f>Założenia!$F$201</f>
        <v>964893.791784</v>
      </c>
      <c r="F39" s="19">
        <f>Założenia!$F$201</f>
        <v>964893.791784</v>
      </c>
      <c r="G39" s="19">
        <f>Założenia!$F$201</f>
        <v>964893.791784</v>
      </c>
      <c r="H39" s="19">
        <f>Założenia!$F$201</f>
        <v>964893.791784</v>
      </c>
      <c r="I39" s="19">
        <f>Założenia!$F$201</f>
        <v>964893.791784</v>
      </c>
      <c r="J39" s="19">
        <f>Założenia!$F$201</f>
        <v>964893.791784</v>
      </c>
      <c r="K39" s="19">
        <f>Założenia!$F$201</f>
        <v>964893.791784</v>
      </c>
      <c r="L39" s="19">
        <f>Założenia!$F$201</f>
        <v>964893.791784</v>
      </c>
      <c r="M39" s="19">
        <f>Założenia!$F$201</f>
        <v>964893.791784</v>
      </c>
      <c r="N39" s="19">
        <f>Założenia!$F$201</f>
        <v>964893.791784</v>
      </c>
      <c r="O39" s="19">
        <f>Założenia!$F$201</f>
        <v>964893.791784</v>
      </c>
      <c r="P39" s="19">
        <f>Założenia!$F$201</f>
        <v>964893.791784</v>
      </c>
      <c r="Q39" s="19">
        <f>Założenia!$F$201</f>
        <v>964893.791784</v>
      </c>
      <c r="R39" s="19">
        <f>Założenia!$F$201</f>
        <v>964893.791784</v>
      </c>
      <c r="S39" s="19">
        <f>Założenia!$F$201</f>
        <v>964893.791784</v>
      </c>
      <c r="T39" s="19">
        <f>Założenia!$F$201</f>
        <v>964893.791784</v>
      </c>
    </row>
    <row r="40" spans="1:21" s="23" customFormat="1">
      <c r="A40" s="11"/>
      <c r="B40" s="255"/>
      <c r="C40" s="4"/>
      <c r="D40" s="4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11"/>
    </row>
    <row r="41" spans="1:21" s="1" customFormat="1" ht="12">
      <c r="A41" s="227" t="s">
        <v>25</v>
      </c>
      <c r="B41" s="81" t="s">
        <v>218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1" s="23" customFormat="1">
      <c r="A42" s="37" t="s">
        <v>33</v>
      </c>
      <c r="B42" s="133" t="s">
        <v>151</v>
      </c>
      <c r="C42" s="175" t="s">
        <v>0</v>
      </c>
      <c r="D42" s="253"/>
      <c r="E42" s="92">
        <f t="shared" ref="E42:T42" si="10">E44*E49</f>
        <v>424104.24730364338</v>
      </c>
      <c r="F42" s="92">
        <f t="shared" si="10"/>
        <v>482495.7180961218</v>
      </c>
      <c r="G42" s="92">
        <f t="shared" si="10"/>
        <v>544618.84605591942</v>
      </c>
      <c r="H42" s="92">
        <f t="shared" si="10"/>
        <v>645168.34396765952</v>
      </c>
      <c r="I42" s="92">
        <f t="shared" si="10"/>
        <v>708987.02084496606</v>
      </c>
      <c r="J42" s="92">
        <f t="shared" si="10"/>
        <v>767958.48146866087</v>
      </c>
      <c r="K42" s="92">
        <f t="shared" si="10"/>
        <v>819270.79703901592</v>
      </c>
      <c r="L42" s="92">
        <f t="shared" si="10"/>
        <v>875258.70334970381</v>
      </c>
      <c r="M42" s="92">
        <f t="shared" si="10"/>
        <v>930007.47167074645</v>
      </c>
      <c r="N42" s="92">
        <f t="shared" si="10"/>
        <v>1024036.5331707718</v>
      </c>
      <c r="O42" s="92">
        <f t="shared" si="10"/>
        <v>1107102.8679859373</v>
      </c>
      <c r="P42" s="92">
        <f t="shared" si="10"/>
        <v>1186495.5231141543</v>
      </c>
      <c r="Q42" s="92">
        <f t="shared" si="10"/>
        <v>1262214.4985554237</v>
      </c>
      <c r="R42" s="92">
        <f t="shared" si="10"/>
        <v>1334259.7943097451</v>
      </c>
      <c r="S42" s="92">
        <f t="shared" si="10"/>
        <v>1399275.8328403318</v>
      </c>
      <c r="T42" s="92">
        <f t="shared" si="10"/>
        <v>1453467.6365790179</v>
      </c>
      <c r="U42" s="11"/>
    </row>
    <row r="43" spans="1:21" s="23" customFormat="1" ht="13.5">
      <c r="A43" s="82"/>
      <c r="B43" s="96" t="s">
        <v>356</v>
      </c>
      <c r="C43" s="175" t="s">
        <v>165</v>
      </c>
      <c r="D43" s="175"/>
      <c r="E43" s="140">
        <f>Założenia!E96</f>
        <v>2.68</v>
      </c>
      <c r="F43" s="140">
        <f>Założenia!F96</f>
        <v>2.68</v>
      </c>
      <c r="G43" s="140">
        <f>Założenia!G96</f>
        <v>2.68</v>
      </c>
      <c r="H43" s="140">
        <f>Założenia!H96</f>
        <v>2.68</v>
      </c>
      <c r="I43" s="140">
        <f>Założenia!I96</f>
        <v>2.68</v>
      </c>
      <c r="J43" s="140">
        <f>Założenia!J96</f>
        <v>2.68</v>
      </c>
      <c r="K43" s="140">
        <f>Założenia!K96</f>
        <v>2.68</v>
      </c>
      <c r="L43" s="140">
        <f>Założenia!L96</f>
        <v>2.68</v>
      </c>
      <c r="M43" s="140">
        <f>Założenia!M96</f>
        <v>2.68</v>
      </c>
      <c r="N43" s="140">
        <f>Założenia!N96</f>
        <v>2.68</v>
      </c>
      <c r="O43" s="140">
        <f>Założenia!O96</f>
        <v>2.68</v>
      </c>
      <c r="P43" s="140">
        <f>Założenia!P96</f>
        <v>2.68</v>
      </c>
      <c r="Q43" s="140">
        <f>Założenia!Q96</f>
        <v>2.68</v>
      </c>
      <c r="R43" s="140">
        <f>Założenia!R96</f>
        <v>2.68</v>
      </c>
      <c r="S43" s="140">
        <f>Założenia!S96</f>
        <v>2.68</v>
      </c>
      <c r="T43" s="140">
        <f>Założenia!T96</f>
        <v>2.68</v>
      </c>
      <c r="U43" s="11"/>
    </row>
    <row r="44" spans="1:21" s="23" customFormat="1" ht="13.5">
      <c r="A44" s="82"/>
      <c r="B44" s="96" t="s">
        <v>149</v>
      </c>
      <c r="C44" s="175" t="s">
        <v>150</v>
      </c>
      <c r="D44" s="175"/>
      <c r="E44" s="141">
        <f>Założenia!E97</f>
        <v>655.58463225699438</v>
      </c>
      <c r="F44" s="141">
        <f>Założenia!F97</f>
        <v>753.34725285672152</v>
      </c>
      <c r="G44" s="141">
        <f>Założenia!G97</f>
        <v>851.10987345644878</v>
      </c>
      <c r="H44" s="141">
        <f>Założenia!H97</f>
        <v>948.87249405617604</v>
      </c>
      <c r="I44" s="141">
        <f>Założenia!I97</f>
        <v>1046.6351146559032</v>
      </c>
      <c r="J44" s="141">
        <f>Założenia!J97</f>
        <v>1144.3977352556303</v>
      </c>
      <c r="K44" s="141">
        <f>Założenia!K97</f>
        <v>1242.1603558553577</v>
      </c>
      <c r="L44" s="141">
        <f>Założenia!L97</f>
        <v>1339.9229764550848</v>
      </c>
      <c r="M44" s="141">
        <f>Założenia!M97</f>
        <v>1437.685597054812</v>
      </c>
      <c r="N44" s="141">
        <f>Założenia!N97</f>
        <v>1598.7063839249508</v>
      </c>
      <c r="O44" s="141">
        <f>Założenia!O97</f>
        <v>1759.7271707950902</v>
      </c>
      <c r="P44" s="141">
        <f>Założenia!P97</f>
        <v>1920.747957665229</v>
      </c>
      <c r="Q44" s="141">
        <f>Założenia!Q97</f>
        <v>2081.7687445353681</v>
      </c>
      <c r="R44" s="141">
        <f>Założenia!R97</f>
        <v>2242.7895314055068</v>
      </c>
      <c r="S44" s="141">
        <f>Założenia!S97</f>
        <v>2398.0595758874269</v>
      </c>
      <c r="T44" s="141">
        <f>Założenia!T97</f>
        <v>2553.3296203693462</v>
      </c>
      <c r="U44" s="11"/>
    </row>
    <row r="45" spans="1:21" s="23" customFormat="1">
      <c r="A45" s="82"/>
      <c r="B45" s="96" t="s">
        <v>432</v>
      </c>
      <c r="C45" s="175" t="s">
        <v>134</v>
      </c>
      <c r="D45" s="175"/>
      <c r="E45" s="91">
        <f>Założenia!D341</f>
        <v>49254.297058823526</v>
      </c>
      <c r="F45" s="91">
        <f>Założenia!E341</f>
        <v>48599.178308823524</v>
      </c>
      <c r="G45" s="91">
        <f>Założenia!F341</f>
        <v>48599.178308823524</v>
      </c>
      <c r="H45" s="91">
        <f>Założenia!G341</f>
        <v>46612.019392188704</v>
      </c>
      <c r="I45" s="91">
        <f>Założenia!H341</f>
        <v>46612.019392188704</v>
      </c>
      <c r="J45" s="91">
        <f>Założenia!I341</f>
        <v>46612.019392188704</v>
      </c>
      <c r="K45" s="91">
        <f>Założenia!J341</f>
        <v>48779.258410864364</v>
      </c>
      <c r="L45" s="91">
        <f>Założenia!K341</f>
        <v>48779.258410864364</v>
      </c>
      <c r="M45" s="91">
        <f>Założenia!L341</f>
        <v>48779.258410864364</v>
      </c>
      <c r="N45" s="91">
        <f>Założenia!M341</f>
        <v>48779.258410864364</v>
      </c>
      <c r="O45" s="91">
        <f>Założenia!N341</f>
        <v>48779.258410864364</v>
      </c>
      <c r="P45" s="91">
        <f>Założenia!O341</f>
        <v>48779.258410864364</v>
      </c>
      <c r="Q45" s="91">
        <f>Założenia!P341</f>
        <v>48779.258410864364</v>
      </c>
      <c r="R45" s="91">
        <f>Założenia!Q341</f>
        <v>48779.258410864364</v>
      </c>
      <c r="S45" s="91">
        <f>Założenia!R341</f>
        <v>48779.258410864364</v>
      </c>
      <c r="T45" s="91">
        <f>Założenia!S341</f>
        <v>48779.258410864364</v>
      </c>
      <c r="U45" s="11"/>
    </row>
    <row r="46" spans="1:21" s="23" customFormat="1">
      <c r="A46" s="82"/>
      <c r="B46" s="96" t="s">
        <v>435</v>
      </c>
      <c r="C46" s="175" t="s">
        <v>134</v>
      </c>
      <c r="D46" s="175"/>
      <c r="E46" s="91">
        <f>Założenia!D343</f>
        <v>38735.5</v>
      </c>
      <c r="F46" s="91">
        <f>Założenia!E343</f>
        <v>38735.5</v>
      </c>
      <c r="G46" s="91">
        <f>Założenia!F343</f>
        <v>38735.5</v>
      </c>
      <c r="H46" s="91">
        <f>Założenia!G343</f>
        <v>48649.811749699868</v>
      </c>
      <c r="I46" s="91">
        <f>Założenia!H343</f>
        <v>48649.811749699868</v>
      </c>
      <c r="J46" s="91">
        <f>Założenia!I343</f>
        <v>48649.811749699868</v>
      </c>
      <c r="K46" s="91">
        <f>Założenia!J343</f>
        <v>48649.811749699868</v>
      </c>
      <c r="L46" s="91">
        <f>Założenia!K343</f>
        <v>48649.811749699868</v>
      </c>
      <c r="M46" s="91">
        <f>Założenia!L343</f>
        <v>48649.811749699868</v>
      </c>
      <c r="N46" s="91">
        <f>Założenia!M343</f>
        <v>48649.811749699868</v>
      </c>
      <c r="O46" s="91">
        <f>Założenia!N343</f>
        <v>48649.811749699868</v>
      </c>
      <c r="P46" s="91">
        <f>Założenia!O343</f>
        <v>48649.811749699868</v>
      </c>
      <c r="Q46" s="91">
        <f>Założenia!P343</f>
        <v>48649.811749699868</v>
      </c>
      <c r="R46" s="91">
        <f>Założenia!Q343</f>
        <v>48649.811749699868</v>
      </c>
      <c r="S46" s="91">
        <f>Założenia!R343</f>
        <v>48649.811749699868</v>
      </c>
      <c r="T46" s="91">
        <f>Założenia!S343</f>
        <v>48649.811749699868</v>
      </c>
      <c r="U46" s="11"/>
    </row>
    <row r="47" spans="1:21" s="23" customFormat="1">
      <c r="A47" s="82"/>
      <c r="B47" s="96" t="s">
        <v>434</v>
      </c>
      <c r="C47" s="175" t="s">
        <v>134</v>
      </c>
      <c r="D47" s="175"/>
      <c r="E47" s="91">
        <f>Założenia!D345</f>
        <v>56133.482352941181</v>
      </c>
      <c r="F47" s="91">
        <f>Założenia!E345</f>
        <v>56133.482352941181</v>
      </c>
      <c r="G47" s="91">
        <f>Założenia!F345</f>
        <v>56133.482352941181</v>
      </c>
      <c r="H47" s="91">
        <f>Założenia!G345</f>
        <v>56725.801479341746</v>
      </c>
      <c r="I47" s="91">
        <f>Założenia!H345</f>
        <v>56725.801479341746</v>
      </c>
      <c r="J47" s="91">
        <f>Założenia!I345</f>
        <v>56725.801479341746</v>
      </c>
      <c r="K47" s="91">
        <f>Założenia!J345</f>
        <v>48779.258410864357</v>
      </c>
      <c r="L47" s="91">
        <f>Założenia!K345</f>
        <v>48779.258410864357</v>
      </c>
      <c r="M47" s="91">
        <f>Założenia!L345</f>
        <v>48779.258410864357</v>
      </c>
      <c r="N47" s="91">
        <f>Założenia!M345</f>
        <v>48779.258410864357</v>
      </c>
      <c r="O47" s="91">
        <f>Założenia!N345</f>
        <v>48779.258410864357</v>
      </c>
      <c r="P47" s="91">
        <f>Założenia!O345</f>
        <v>48779.258410864357</v>
      </c>
      <c r="Q47" s="91">
        <f>Założenia!P345</f>
        <v>48779.258410864357</v>
      </c>
      <c r="R47" s="91">
        <f>Założenia!Q345</f>
        <v>48779.258410864357</v>
      </c>
      <c r="S47" s="91">
        <f>Założenia!R345</f>
        <v>48779.258410864357</v>
      </c>
      <c r="T47" s="91">
        <f>Założenia!S345</f>
        <v>48779.258410864357</v>
      </c>
      <c r="U47" s="11"/>
    </row>
    <row r="48" spans="1:21" s="23" customFormat="1">
      <c r="A48" s="82"/>
      <c r="B48" s="96" t="s">
        <v>433</v>
      </c>
      <c r="C48" s="175" t="s">
        <v>134</v>
      </c>
      <c r="D48" s="175"/>
      <c r="E48" s="91">
        <f>Założenia!D346</f>
        <v>0</v>
      </c>
      <c r="F48" s="91">
        <f>Założenia!E346</f>
        <v>0</v>
      </c>
      <c r="G48" s="91">
        <f>Założenia!F346</f>
        <v>0</v>
      </c>
      <c r="H48" s="91">
        <f>Założenia!G346</f>
        <v>0</v>
      </c>
      <c r="I48" s="91">
        <f>Założenia!H346</f>
        <v>0</v>
      </c>
      <c r="J48" s="91">
        <f>Założenia!I346</f>
        <v>0</v>
      </c>
      <c r="K48" s="91">
        <f>Założenia!J346</f>
        <v>0</v>
      </c>
      <c r="L48" s="91">
        <f>Założenia!K346</f>
        <v>0</v>
      </c>
      <c r="M48" s="91">
        <f>Założenia!L346</f>
        <v>0</v>
      </c>
      <c r="N48" s="91">
        <f>Założenia!M346</f>
        <v>0</v>
      </c>
      <c r="O48" s="91">
        <f>Założenia!N346</f>
        <v>0</v>
      </c>
      <c r="P48" s="91">
        <f>Założenia!O346</f>
        <v>0</v>
      </c>
      <c r="Q48" s="91">
        <f>Założenia!P346</f>
        <v>0</v>
      </c>
      <c r="R48" s="91">
        <f>Założenia!Q346</f>
        <v>0</v>
      </c>
      <c r="S48" s="91">
        <f>Założenia!R346</f>
        <v>0</v>
      </c>
      <c r="T48" s="91">
        <f>Założenia!S346</f>
        <v>0</v>
      </c>
      <c r="U48" s="11"/>
    </row>
    <row r="49" spans="1:21" s="23" customFormat="1" ht="13.5">
      <c r="A49" s="82"/>
      <c r="B49" s="96" t="s">
        <v>226</v>
      </c>
      <c r="C49" s="175" t="s">
        <v>215</v>
      </c>
      <c r="D49" s="175"/>
      <c r="E49" s="91">
        <f>E50+E57</f>
        <v>646.90998909411769</v>
      </c>
      <c r="F49" s="91">
        <f t="shared" ref="F49:T49" si="11">F50+F57</f>
        <v>640.46920761505351</v>
      </c>
      <c r="G49" s="91">
        <f t="shared" si="11"/>
        <v>639.89252509098935</v>
      </c>
      <c r="H49" s="91">
        <f t="shared" si="11"/>
        <v>679.93154824178475</v>
      </c>
      <c r="I49" s="91">
        <f t="shared" si="11"/>
        <v>677.39655484237801</v>
      </c>
      <c r="J49" s="91">
        <f t="shared" si="11"/>
        <v>671.05907134386086</v>
      </c>
      <c r="K49" s="91">
        <f t="shared" si="11"/>
        <v>659.55316733229824</v>
      </c>
      <c r="L49" s="91">
        <f t="shared" si="11"/>
        <v>653.21568383378121</v>
      </c>
      <c r="M49" s="91">
        <f t="shared" si="11"/>
        <v>646.87820033526407</v>
      </c>
      <c r="N49" s="91">
        <f t="shared" si="11"/>
        <v>640.54071683674704</v>
      </c>
      <c r="O49" s="91">
        <f t="shared" si="11"/>
        <v>629.1332465394164</v>
      </c>
      <c r="P49" s="91">
        <f t="shared" si="11"/>
        <v>617.72577624208566</v>
      </c>
      <c r="Q49" s="91">
        <f t="shared" si="11"/>
        <v>606.31830594475491</v>
      </c>
      <c r="R49" s="91">
        <f t="shared" si="11"/>
        <v>594.91083564742428</v>
      </c>
      <c r="S49" s="91">
        <f t="shared" si="11"/>
        <v>583.50336535009365</v>
      </c>
      <c r="T49" s="91">
        <f t="shared" si="11"/>
        <v>569.24402747843021</v>
      </c>
      <c r="U49" s="11"/>
    </row>
    <row r="50" spans="1:21" s="23" customFormat="1" ht="13.5">
      <c r="A50" s="82"/>
      <c r="B50" s="133" t="s">
        <v>314</v>
      </c>
      <c r="C50" s="175" t="s">
        <v>215</v>
      </c>
      <c r="D50" s="175"/>
      <c r="E50" s="91">
        <f>SUM(E51:E56)</f>
        <v>589.81841921176476</v>
      </c>
      <c r="F50" s="91">
        <f t="shared" ref="F50:T50" si="12">SUM(F51:F56)</f>
        <v>583.95432025676473</v>
      </c>
      <c r="G50" s="91">
        <f t="shared" si="12"/>
        <v>583.95432025676473</v>
      </c>
      <c r="H50" s="91">
        <f t="shared" si="12"/>
        <v>436.57218189873004</v>
      </c>
      <c r="I50" s="91">
        <f t="shared" si="12"/>
        <v>436.57218189873004</v>
      </c>
      <c r="J50" s="91">
        <f t="shared" si="12"/>
        <v>436.57218189873004</v>
      </c>
      <c r="K50" s="91">
        <f t="shared" si="12"/>
        <v>431.40376138568439</v>
      </c>
      <c r="L50" s="91">
        <f t="shared" si="12"/>
        <v>431.40376138568439</v>
      </c>
      <c r="M50" s="91">
        <f t="shared" si="12"/>
        <v>431.40376138568439</v>
      </c>
      <c r="N50" s="91">
        <f t="shared" si="12"/>
        <v>431.40376138568439</v>
      </c>
      <c r="O50" s="91">
        <f t="shared" si="12"/>
        <v>431.40376138568439</v>
      </c>
      <c r="P50" s="91">
        <f t="shared" si="12"/>
        <v>431.40376138568439</v>
      </c>
      <c r="Q50" s="91">
        <f t="shared" si="12"/>
        <v>431.40376138568439</v>
      </c>
      <c r="R50" s="91">
        <f t="shared" si="12"/>
        <v>431.40376138568439</v>
      </c>
      <c r="S50" s="91">
        <f t="shared" si="12"/>
        <v>431.40376138568439</v>
      </c>
      <c r="T50" s="91">
        <f t="shared" si="12"/>
        <v>431.40376138568439</v>
      </c>
      <c r="U50" s="11"/>
    </row>
    <row r="51" spans="1:21" s="23" customFormat="1" ht="13.5">
      <c r="A51" s="82"/>
      <c r="B51" s="96" t="s">
        <v>361</v>
      </c>
      <c r="C51" s="175" t="s">
        <v>215</v>
      </c>
      <c r="D51" s="175"/>
      <c r="E51" s="91">
        <f>Założenia!D312*E$45*E$43/1000*Założenia!$E51/100+Założenia!D324*E$47*E$43/1000*Założenia!$G51/100</f>
        <v>0</v>
      </c>
      <c r="F51" s="91">
        <f>Założenia!E312*F$45*F$43/1000*Założenia!$E51/100+Założenia!E324*F$47*F$43/1000*Założenia!$G51/100</f>
        <v>0</v>
      </c>
      <c r="G51" s="91">
        <f>Założenia!F312*G$45*G$43/1000*Założenia!$E51/100+Założenia!F324*G$47*G$43/1000*Założenia!$G51/100</f>
        <v>0</v>
      </c>
      <c r="H51" s="91">
        <f>Założenia!G312*H$45*H$43/1000*Założenia!$E51/100+Założenia!G324*H$47*H$43/1000*Założenia!$G51/100</f>
        <v>0</v>
      </c>
      <c r="I51" s="91">
        <f>Założenia!H312*I$45*I$43/1000*Założenia!$E51/100+Założenia!H324*I$47*I$43/1000*Założenia!$G51/100</f>
        <v>0</v>
      </c>
      <c r="J51" s="91">
        <f>Założenia!I312*J$45*J$43/1000*Założenia!$E51/100+Założenia!I324*J$47*J$43/1000*Założenia!$G51/100</f>
        <v>0</v>
      </c>
      <c r="K51" s="91">
        <f>Założenia!J312*K$45*K$43/1000*Założenia!$E51/100+Założenia!J324*K$47*K$43/1000*Założenia!$G51/100</f>
        <v>0</v>
      </c>
      <c r="L51" s="91">
        <f>Założenia!K312*L$45*L$43/1000*Założenia!$E51/100+Założenia!K324*L$47*L$43/1000*Założenia!$G51/100</f>
        <v>0</v>
      </c>
      <c r="M51" s="91">
        <f>Założenia!L312*M$45*M$43/1000*Założenia!$E51/100+Założenia!L324*M$47*M$43/1000*Założenia!$G51/100</f>
        <v>0</v>
      </c>
      <c r="N51" s="91">
        <f>Założenia!M312*N$45*N$43/1000*Założenia!$E51/100+Założenia!M324*N$47*N$43/1000*Założenia!$G51/100</f>
        <v>0</v>
      </c>
      <c r="O51" s="91">
        <f>Założenia!N312*O$45*O$43/1000*Założenia!$E51/100+Założenia!N324*O$47*O$43/1000*Założenia!$G51/100</f>
        <v>0</v>
      </c>
      <c r="P51" s="91">
        <f>Założenia!O312*P$45*P$43/1000*Założenia!$E51/100+Założenia!O324*P$47*P$43/1000*Założenia!$G51/100</f>
        <v>0</v>
      </c>
      <c r="Q51" s="91">
        <f>Założenia!P312*Q$45*Q$43/1000*Założenia!$E51/100+Założenia!P324*Q$47*Q$43/1000*Założenia!$G51/100</f>
        <v>0</v>
      </c>
      <c r="R51" s="91">
        <f>Założenia!Q312*R$45*R$43/1000*Założenia!$E51/100+Założenia!Q324*R$47*R$43/1000*Założenia!$G51/100</f>
        <v>0</v>
      </c>
      <c r="S51" s="91">
        <f>Założenia!R312*S$45*S$43/1000*Założenia!$E51/100+Założenia!R324*S$47*S$43/1000*Założenia!$G51/100</f>
        <v>0</v>
      </c>
      <c r="T51" s="91">
        <f>Założenia!S312*T$45*T$43/1000*Założenia!$E51/100+Założenia!S324*T$47*T$43/1000*Założenia!$G51/100</f>
        <v>0</v>
      </c>
      <c r="U51" s="11"/>
    </row>
    <row r="52" spans="1:21" s="1" customFormat="1" ht="13.5">
      <c r="A52" s="82"/>
      <c r="B52" s="96" t="s">
        <v>362</v>
      </c>
      <c r="C52" s="175" t="s">
        <v>215</v>
      </c>
      <c r="D52" s="252"/>
      <c r="E52" s="91">
        <f>Założenia!D313*E$45*E$43/1000*Założenia!$E52/100+Założenia!D325*E$47*E$43/1000*Założenia!$G52/100</f>
        <v>0</v>
      </c>
      <c r="F52" s="91">
        <f>Założenia!E313*F$45*F$43/1000*Założenia!$E52/100+Założenia!E325*F$47*F$43/1000*Założenia!$G52/100</f>
        <v>0</v>
      </c>
      <c r="G52" s="91">
        <f>Założenia!F313*G$45*G$43/1000*Założenia!$E52/100+Założenia!F325*G$47*G$43/1000*Założenia!$G52/100</f>
        <v>0</v>
      </c>
      <c r="H52" s="91">
        <f>Założenia!G313*H$45*H$43/1000*Założenia!$E52/100+Założenia!G325*H$47*H$43/1000*Założenia!$G52/100</f>
        <v>0</v>
      </c>
      <c r="I52" s="91">
        <f>Założenia!H313*I$45*I$43/1000*Założenia!$E52/100+Założenia!H325*I$47*I$43/1000*Założenia!$G52/100</f>
        <v>0</v>
      </c>
      <c r="J52" s="91">
        <f>Założenia!I313*J$45*J$43/1000*Założenia!$E52/100+Założenia!I325*J$47*J$43/1000*Założenia!$G52/100</f>
        <v>0</v>
      </c>
      <c r="K52" s="91">
        <f>Założenia!J313*K$45*K$43/1000*Założenia!$E52/100+Założenia!J325*K$47*K$43/1000*Założenia!$G52/100</f>
        <v>0</v>
      </c>
      <c r="L52" s="91">
        <f>Założenia!K313*L$45*L$43/1000*Założenia!$E52/100+Założenia!K325*L$47*L$43/1000*Założenia!$G52/100</f>
        <v>0</v>
      </c>
      <c r="M52" s="91">
        <f>Założenia!L313*M$45*M$43/1000*Założenia!$E52/100+Założenia!L325*M$47*M$43/1000*Założenia!$G52/100</f>
        <v>0</v>
      </c>
      <c r="N52" s="91">
        <f>Założenia!M313*N$45*N$43/1000*Założenia!$E52/100+Założenia!M325*N$47*N$43/1000*Założenia!$G52/100</f>
        <v>0</v>
      </c>
      <c r="O52" s="91">
        <f>Założenia!N313*O$45*O$43/1000*Założenia!$E52/100+Założenia!N325*O$47*O$43/1000*Założenia!$G52/100</f>
        <v>0</v>
      </c>
      <c r="P52" s="91">
        <f>Założenia!O313*P$45*P$43/1000*Założenia!$E52/100+Założenia!O325*P$47*P$43/1000*Założenia!$G52/100</f>
        <v>0</v>
      </c>
      <c r="Q52" s="91">
        <f>Założenia!P313*Q$45*Q$43/1000*Założenia!$E52/100+Założenia!P325*Q$47*Q$43/1000*Założenia!$G52/100</f>
        <v>0</v>
      </c>
      <c r="R52" s="91">
        <f>Założenia!Q313*R$45*R$43/1000*Założenia!$E52/100+Założenia!Q325*R$47*R$43/1000*Założenia!$G52/100</f>
        <v>0</v>
      </c>
      <c r="S52" s="91">
        <f>Założenia!R313*S$45*S$43/1000*Założenia!$E52/100+Założenia!R325*S$47*S$43/1000*Założenia!$G52/100</f>
        <v>0</v>
      </c>
      <c r="T52" s="91">
        <f>Założenia!S313*T$45*T$43/1000*Założenia!$E52/100+Założenia!S325*T$47*T$43/1000*Założenia!$G52/100</f>
        <v>0</v>
      </c>
    </row>
    <row r="53" spans="1:21" s="1" customFormat="1" ht="13.5">
      <c r="A53" s="82"/>
      <c r="B53" s="96" t="s">
        <v>363</v>
      </c>
      <c r="C53" s="175" t="s">
        <v>215</v>
      </c>
      <c r="D53" s="252"/>
      <c r="E53" s="91">
        <f>Założenia!D314*E$45*E$43/1000*Założenia!$E53/100+Założenia!D326*E$47*E$43/1000*Założenia!$G53/100</f>
        <v>0</v>
      </c>
      <c r="F53" s="91">
        <f>Założenia!E314*F$45*F$43/1000*Założenia!$E53/100+Założenia!E326*F$47*F$43/1000*Założenia!$G53/100</f>
        <v>0</v>
      </c>
      <c r="G53" s="91">
        <f>Założenia!F314*G$45*G$43/1000*Założenia!$E53/100+Założenia!F326*G$47*G$43/1000*Założenia!$G53/100</f>
        <v>0</v>
      </c>
      <c r="H53" s="91">
        <f>Założenia!G314*H$45*H$43/1000*Założenia!$E53/100+Założenia!G326*H$47*H$43/1000*Założenia!$G53/100</f>
        <v>0</v>
      </c>
      <c r="I53" s="91">
        <f>Założenia!H314*I$45*I$43/1000*Założenia!$E53/100+Założenia!H326*I$47*I$43/1000*Założenia!$G53/100</f>
        <v>0</v>
      </c>
      <c r="J53" s="91">
        <f>Założenia!I314*J$45*J$43/1000*Założenia!$E53/100+Założenia!I326*J$47*J$43/1000*Założenia!$G53/100</f>
        <v>0</v>
      </c>
      <c r="K53" s="91">
        <f>Założenia!J314*K$45*K$43/1000*Założenia!$E53/100+Założenia!J326*K$47*K$43/1000*Założenia!$G53/100</f>
        <v>0</v>
      </c>
      <c r="L53" s="91">
        <f>Założenia!K314*L$45*L$43/1000*Założenia!$E53/100+Założenia!K326*L$47*L$43/1000*Założenia!$G53/100</f>
        <v>0</v>
      </c>
      <c r="M53" s="91">
        <f>Założenia!L314*M$45*M$43/1000*Założenia!$E53/100+Założenia!L326*M$47*M$43/1000*Założenia!$G53/100</f>
        <v>0</v>
      </c>
      <c r="N53" s="91">
        <f>Założenia!M314*N$45*N$43/1000*Założenia!$E53/100+Założenia!M326*N$47*N$43/1000*Założenia!$G53/100</f>
        <v>0</v>
      </c>
      <c r="O53" s="91">
        <f>Założenia!N314*O$45*O$43/1000*Założenia!$E53/100+Założenia!N326*O$47*O$43/1000*Założenia!$G53/100</f>
        <v>0</v>
      </c>
      <c r="P53" s="91">
        <f>Założenia!O314*P$45*P$43/1000*Założenia!$E53/100+Założenia!O326*P$47*P$43/1000*Założenia!$G53/100</f>
        <v>0</v>
      </c>
      <c r="Q53" s="91">
        <f>Założenia!P314*Q$45*Q$43/1000*Założenia!$E53/100+Założenia!P326*Q$47*Q$43/1000*Założenia!$G53/100</f>
        <v>0</v>
      </c>
      <c r="R53" s="91">
        <f>Założenia!Q314*R$45*R$43/1000*Założenia!$E53/100+Założenia!Q326*R$47*R$43/1000*Założenia!$G53/100</f>
        <v>0</v>
      </c>
      <c r="S53" s="91">
        <f>Założenia!R314*S$45*S$43/1000*Założenia!$E53/100+Założenia!R326*S$47*S$43/1000*Założenia!$G53/100</f>
        <v>0</v>
      </c>
      <c r="T53" s="91">
        <f>Założenia!S314*T$45*T$43/1000*Założenia!$E53/100+Założenia!S326*T$47*T$43/1000*Założenia!$G53/100</f>
        <v>0</v>
      </c>
    </row>
    <row r="54" spans="1:21" s="1" customFormat="1" ht="13.5">
      <c r="A54" s="82"/>
      <c r="B54" s="96" t="s">
        <v>364</v>
      </c>
      <c r="C54" s="175" t="s">
        <v>215</v>
      </c>
      <c r="D54" s="252"/>
      <c r="E54" s="91">
        <f>Założenia!D315*E$45*E$43/1000*Założenia!$E54/100+Założenia!D327*E$47*E$43/1000*Założenia!$G54/100</f>
        <v>0</v>
      </c>
      <c r="F54" s="91">
        <f>Założenia!E315*F$45*F$43/1000*Założenia!$E54/100+Założenia!E327*F$47*F$43/1000*Założenia!$G54/100</f>
        <v>0</v>
      </c>
      <c r="G54" s="91">
        <f>Założenia!F315*G$45*G$43/1000*Założenia!$E54/100+Założenia!F327*G$47*G$43/1000*Założenia!$G54/100</f>
        <v>0</v>
      </c>
      <c r="H54" s="91">
        <f>Założenia!G315*H$45*H$43/1000*Założenia!$E54/100+Założenia!G327*H$47*H$43/1000*Założenia!$G54/100</f>
        <v>0</v>
      </c>
      <c r="I54" s="91">
        <f>Założenia!H315*I$45*I$43/1000*Założenia!$E54/100+Założenia!H327*I$47*I$43/1000*Założenia!$G54/100</f>
        <v>0</v>
      </c>
      <c r="J54" s="91">
        <f>Założenia!I315*J$45*J$43/1000*Założenia!$E54/100+Założenia!I327*J$47*J$43/1000*Założenia!$G54/100</f>
        <v>0</v>
      </c>
      <c r="K54" s="91">
        <f>Założenia!J315*K$45*K$43/1000*Założenia!$E54/100+Założenia!J327*K$47*K$43/1000*Założenia!$G54/100</f>
        <v>0</v>
      </c>
      <c r="L54" s="91">
        <f>Założenia!K315*L$45*L$43/1000*Założenia!$E54/100+Założenia!K327*L$47*L$43/1000*Założenia!$G54/100</f>
        <v>0</v>
      </c>
      <c r="M54" s="91">
        <f>Założenia!L315*M$45*M$43/1000*Założenia!$E54/100+Założenia!L327*M$47*M$43/1000*Założenia!$G54/100</f>
        <v>0</v>
      </c>
      <c r="N54" s="91">
        <f>Założenia!M315*N$45*N$43/1000*Założenia!$E54/100+Założenia!M327*N$47*N$43/1000*Założenia!$G54/100</f>
        <v>0</v>
      </c>
      <c r="O54" s="91">
        <f>Założenia!N315*O$45*O$43/1000*Założenia!$E54/100+Założenia!N327*O$47*O$43/1000*Założenia!$G54/100</f>
        <v>0</v>
      </c>
      <c r="P54" s="91">
        <f>Założenia!O315*P$45*P$43/1000*Założenia!$E54/100+Założenia!O327*P$47*P$43/1000*Założenia!$G54/100</f>
        <v>0</v>
      </c>
      <c r="Q54" s="91">
        <f>Założenia!P315*Q$45*Q$43/1000*Założenia!$E54/100+Założenia!P327*Q$47*Q$43/1000*Założenia!$G54/100</f>
        <v>0</v>
      </c>
      <c r="R54" s="91">
        <f>Założenia!Q315*R$45*R$43/1000*Założenia!$E54/100+Założenia!Q327*R$47*R$43/1000*Założenia!$G54/100</f>
        <v>0</v>
      </c>
      <c r="S54" s="91">
        <f>Założenia!R315*S$45*S$43/1000*Założenia!$E54/100+Założenia!R327*S$47*S$43/1000*Założenia!$G54/100</f>
        <v>0</v>
      </c>
      <c r="T54" s="91">
        <f>Założenia!S315*T$45*T$43/1000*Założenia!$E54/100+Założenia!S327*T$47*T$43/1000*Założenia!$G54/100</f>
        <v>0</v>
      </c>
    </row>
    <row r="55" spans="1:21" s="1" customFormat="1" ht="13.5">
      <c r="A55" s="82"/>
      <c r="B55" s="96" t="s">
        <v>365</v>
      </c>
      <c r="C55" s="175" t="s">
        <v>215</v>
      </c>
      <c r="D55" s="252"/>
      <c r="E55" s="91">
        <f>Założenia!D316*E$45*E$43/1000*Założenia!$E55/100+Założenia!D318*E$45*E$43/1000*Założenia!$E163/100+Założenia!D328*E$47*E$43/1000*Założenia!$G55/100</f>
        <v>52.800606447058826</v>
      </c>
      <c r="F55" s="91">
        <f>Założenia!E316*F$45*F$43/1000*Założenia!$E55/100+Założenia!E318*F$45*F$43/1000*Założenia!$E163/100+Założenia!E328*F$47*F$43/1000*Założenia!$G55/100</f>
        <v>52.098319147058817</v>
      </c>
      <c r="G55" s="91">
        <f>Założenia!F316*G$45*G$43/1000*Założenia!$E55/100+Założenia!F318*G$45*G$43/1000*Założenia!$E163/100+Założenia!F328*G$47*G$43/1000*Założenia!$G55/100</f>
        <v>52.098319147058817</v>
      </c>
      <c r="H55" s="91">
        <f>Założenia!G316*H$45*H$43/1000*Założenia!$E55/100+Założenia!G318*H$45*H$43/1000*Założenia!$E163/100+Założenia!G328*H$47*H$43/1000*Założenia!$G55/100</f>
        <v>49.968084788426296</v>
      </c>
      <c r="I55" s="91">
        <f>Założenia!H316*I$45*I$43/1000*Założenia!$E55/100+Założenia!H318*I$45*I$43/1000*Założenia!$E163/100+Założenia!H328*I$47*I$43/1000*Założenia!$G55/100</f>
        <v>49.968084788426296</v>
      </c>
      <c r="J55" s="91">
        <f>Założenia!I316*J$45*J$43/1000*Założenia!$E55/100+Założenia!I318*J$45*J$43/1000*Założenia!$E163/100+Założenia!I328*J$47*J$43/1000*Założenia!$G55/100</f>
        <v>49.968084788426296</v>
      </c>
      <c r="K55" s="91">
        <f>Założenia!J316*K$45*K$43/1000*Założenia!$E55/100+Założenia!J318*K$45*K$43/1000*Założenia!$E163/100+Założenia!J328*K$47*K$43/1000*Założenia!$G55/100</f>
        <v>0</v>
      </c>
      <c r="L55" s="91">
        <f>Założenia!K316*L$45*L$43/1000*Założenia!$E55/100+Założenia!K318*L$45*L$43/1000*Założenia!$E163/100+Założenia!K328*L$47*L$43/1000*Założenia!$G55/100</f>
        <v>0</v>
      </c>
      <c r="M55" s="91">
        <f>Założenia!L316*M$45*M$43/1000*Założenia!$E55/100+Założenia!L318*M$45*M$43/1000*Założenia!$E163/100+Założenia!L328*M$47*M$43/1000*Założenia!$G55/100</f>
        <v>0</v>
      </c>
      <c r="N55" s="91">
        <f>Założenia!M316*N$45*N$43/1000*Założenia!$E55/100+Założenia!M318*N$45*N$43/1000*Założenia!$E163/100+Założenia!M328*N$47*N$43/1000*Założenia!$G55/100</f>
        <v>0</v>
      </c>
      <c r="O55" s="91">
        <f>Założenia!N316*O$45*O$43/1000*Założenia!$E55/100+Założenia!N318*O$45*O$43/1000*Założenia!$E163/100+Założenia!N328*O$47*O$43/1000*Założenia!$G55/100</f>
        <v>0</v>
      </c>
      <c r="P55" s="91">
        <f>Założenia!O316*P$45*P$43/1000*Założenia!$E55/100+Założenia!O318*P$45*P$43/1000*Założenia!$E163/100+Założenia!O328*P$47*P$43/1000*Założenia!$G55/100</f>
        <v>0</v>
      </c>
      <c r="Q55" s="91">
        <f>Założenia!P316*Q$45*Q$43/1000*Założenia!$E55/100+Założenia!P318*Q$45*Q$43/1000*Założenia!$E163/100+Założenia!P328*Q$47*Q$43/1000*Założenia!$G55/100</f>
        <v>0</v>
      </c>
      <c r="R55" s="91">
        <f>Założenia!Q316*R$45*R$43/1000*Założenia!$E55/100+Założenia!Q318*R$45*R$43/1000*Założenia!$E163/100+Założenia!Q328*R$47*R$43/1000*Założenia!$G55/100</f>
        <v>0</v>
      </c>
      <c r="S55" s="91">
        <f>Założenia!R316*S$45*S$43/1000*Założenia!$E55/100+Założenia!R318*S$45*S$43/1000*Założenia!$E163/100+Założenia!R328*S$47*S$43/1000*Założenia!$G55/100</f>
        <v>0</v>
      </c>
      <c r="T55" s="91">
        <f>Założenia!S316*T$45*T$43/1000*Założenia!$E55/100+Założenia!S318*T$45*T$43/1000*Założenia!$E163/100+Założenia!S328*T$47*T$43/1000*Założenia!$G55/100</f>
        <v>0</v>
      </c>
    </row>
    <row r="56" spans="1:21" s="1" customFormat="1" ht="13.5">
      <c r="A56" s="82"/>
      <c r="B56" s="96" t="s">
        <v>367</v>
      </c>
      <c r="C56" s="175" t="s">
        <v>215</v>
      </c>
      <c r="D56" s="252"/>
      <c r="E56" s="91">
        <f>+Założenia!D317*E$45*E$43/1000*Założenia!$E56/100+Założenia!D319*E$45*E$43/1000*Założenia!$E163/100+Założenia!D329*E$47*E$43/1000*Założenia!$G56/100+Założenia!D330*E$47*E$43/1000*Założenia!$E164/100</f>
        <v>537.01781276470592</v>
      </c>
      <c r="F56" s="91">
        <f>+Założenia!E317*F$45*F$43/1000*Założenia!$E56/100+Założenia!E319*F$45*F$43/1000*Założenia!$E163/100+Założenia!E329*F$47*F$43/1000*Założenia!$G56/100+Założenia!E330*F$47*F$43/1000*Założenia!$E164/100</f>
        <v>531.85600110970586</v>
      </c>
      <c r="G56" s="91">
        <f>+Założenia!F317*G$45*G$43/1000*Założenia!$E56/100+Założenia!F319*G$45*G$43/1000*Założenia!$E163/100+Założenia!F329*G$47*G$43/1000*Założenia!$G56/100+Założenia!F330*G$47*G$43/1000*Założenia!$E164/100</f>
        <v>531.85600110970586</v>
      </c>
      <c r="H56" s="91">
        <f>+Założenia!G317*H$45*H$43/1000*Założenia!$E56/100+Założenia!G319*H$45*H$43/1000*Założenia!$E163/100+Założenia!G329*H$47*H$43/1000*Założenia!$G56/100+Założenia!G330*H$47*H$43/1000*Założenia!$E164/100</f>
        <v>386.60409711030377</v>
      </c>
      <c r="I56" s="91">
        <f>+Założenia!H317*I$45*I$43/1000*Założenia!$E56/100+Założenia!H319*I$45*I$43/1000*Założenia!$E163/100+Założenia!H329*I$47*I$43/1000*Założenia!$G56/100+Założenia!H330*I$47*I$43/1000*Założenia!$E164/100</f>
        <v>386.60409711030377</v>
      </c>
      <c r="J56" s="91">
        <f>+Założenia!I317*J$45*J$43/1000*Założenia!$E56/100+Założenia!I319*J$45*J$43/1000*Założenia!$E163/100+Założenia!I329*J$47*J$43/1000*Założenia!$G56/100+Założenia!I330*J$47*J$43/1000*Założenia!$E164/100</f>
        <v>386.60409711030377</v>
      </c>
      <c r="K56" s="91">
        <f>+Założenia!J317*K$45*K$43/1000*Założenia!$E56/100+Założenia!J319*K$45*K$43/1000*Założenia!$E163/100+Założenia!J329*K$47*K$43/1000*Założenia!$G56/100+Założenia!J330*K$47*K$43/1000*Założenia!$E164/100</f>
        <v>431.40376138568439</v>
      </c>
      <c r="L56" s="91">
        <f>+Założenia!K317*L$45*L$43/1000*Założenia!$E56/100+Założenia!K319*L$45*L$43/1000*Założenia!$E163/100+Założenia!K329*L$47*L$43/1000*Założenia!$G56/100+Założenia!K330*L$47*L$43/1000*Założenia!$E164/100</f>
        <v>431.40376138568439</v>
      </c>
      <c r="M56" s="91">
        <f>+Założenia!L317*M$45*M$43/1000*Założenia!$E56/100+Założenia!L319*M$45*M$43/1000*Założenia!$E163/100+Założenia!L329*M$47*M$43/1000*Założenia!$G56/100+Założenia!L330*M$47*M$43/1000*Założenia!$E164/100</f>
        <v>431.40376138568439</v>
      </c>
      <c r="N56" s="91">
        <f>+Założenia!M317*N$45*N$43/1000*Założenia!$E56/100+Założenia!M319*N$45*N$43/1000*Założenia!$E163/100+Założenia!M329*N$47*N$43/1000*Założenia!$G56/100+Założenia!M330*N$47*N$43/1000*Założenia!$E164/100</f>
        <v>431.40376138568439</v>
      </c>
      <c r="O56" s="91">
        <f>+Założenia!N317*O$45*O$43/1000*Założenia!$E56/100+Założenia!N319*O$45*O$43/1000*Założenia!$E163/100+Założenia!N329*O$47*O$43/1000*Założenia!$G56/100+Założenia!N330*O$47*O$43/1000*Założenia!$E164/100</f>
        <v>431.40376138568439</v>
      </c>
      <c r="P56" s="91">
        <f>+Założenia!O317*P$45*P$43/1000*Założenia!$E56/100+Założenia!O319*P$45*P$43/1000*Założenia!$E163/100+Założenia!O329*P$47*P$43/1000*Założenia!$G56/100+Założenia!O330*P$47*P$43/1000*Założenia!$E164/100</f>
        <v>431.40376138568439</v>
      </c>
      <c r="Q56" s="91">
        <f>+Założenia!P317*Q$45*Q$43/1000*Założenia!$E56/100+Założenia!P319*Q$45*Q$43/1000*Założenia!$E163/100+Założenia!P329*Q$47*Q$43/1000*Założenia!$G56/100+Założenia!P330*Q$47*Q$43/1000*Założenia!$E164/100</f>
        <v>431.40376138568439</v>
      </c>
      <c r="R56" s="91">
        <f>+Założenia!Q317*R$45*R$43/1000*Założenia!$E56/100+Założenia!Q319*R$45*R$43/1000*Założenia!$E163/100+Założenia!Q329*R$47*R$43/1000*Założenia!$G56/100+Założenia!Q330*R$47*R$43/1000*Założenia!$E164/100</f>
        <v>431.40376138568439</v>
      </c>
      <c r="S56" s="91">
        <f>+Założenia!R317*S$45*S$43/1000*Założenia!$E56/100+Założenia!R319*S$45*S$43/1000*Założenia!$E163/100+Założenia!R329*S$47*S$43/1000*Założenia!$G56/100+Założenia!R330*S$47*S$43/1000*Założenia!$E164/100</f>
        <v>431.40376138568439</v>
      </c>
      <c r="T56" s="91">
        <f>+Założenia!S317*T$45*T$43/1000*Założenia!$E56/100+Założenia!S319*T$45*T$43/1000*Założenia!$E163/100+Założenia!S329*T$47*T$43/1000*Założenia!$G56/100+Założenia!S330*T$47*T$43/1000*Założenia!$E164/100</f>
        <v>431.40376138568439</v>
      </c>
    </row>
    <row r="57" spans="1:21" s="1" customFormat="1" ht="13.5">
      <c r="A57" s="82"/>
      <c r="B57" s="94" t="s">
        <v>230</v>
      </c>
      <c r="C57" s="175" t="s">
        <v>215</v>
      </c>
      <c r="D57" s="252"/>
      <c r="E57" s="91">
        <f>E46*Założenia!D321*Założenia!$E$166*Założenia!$E$107*Założenia!E100/1000000+E48*Założenia!D331*Założenia!$E$167*Założenia!$E$107*Założenia!E100/1000000</f>
        <v>57.091569882352935</v>
      </c>
      <c r="F57" s="91">
        <f>F46*Założenia!E321*Założenia!$E$166*Założenia!$E$107*Założenia!F100/1000000+F48*Założenia!E331*Założenia!$E$167*Założenia!$E$107*Założenia!F100/1000000</f>
        <v>56.51488735828876</v>
      </c>
      <c r="G57" s="91">
        <f>G46*Założenia!F321*Założenia!$E$166*Założenia!$E$107*Założenia!G100/1000000+G48*Założenia!F331*Założenia!$E$167*Założenia!$E$107*Założenia!G100/1000000</f>
        <v>55.938204834224592</v>
      </c>
      <c r="H57" s="91">
        <f>H46*Założenia!G321*Założenia!$E$166*Założenia!$E$107*Założenia!H100/1000000+H48*Założenia!G331*Założenia!$E$167*Założenia!$E$107*Założenia!H100/1000000</f>
        <v>243.35936634305472</v>
      </c>
      <c r="I57" s="91">
        <f>I46*Założenia!H321*Założenia!$E$166*Założenia!$E$107*Założenia!I100/1000000+I48*Założenia!H331*Założenia!$E$167*Założenia!$E$107*Założenia!I100/1000000</f>
        <v>240.82437294364792</v>
      </c>
      <c r="J57" s="91">
        <f>J46*Założenia!I321*Założenia!$E$166*Założenia!$E$107*Założenia!J100/1000000+J48*Założenia!I331*Założenia!$E$167*Założenia!$E$107*Założenia!J100/1000000</f>
        <v>234.48688944513086</v>
      </c>
      <c r="K57" s="91">
        <f>K46*Założenia!J321*Założenia!$E$166*Założenia!$E$107*Założenia!K100/1000000+K48*Założenia!J331*Założenia!$E$167*Założenia!$E$107*Założenia!K100/1000000</f>
        <v>228.14940594661383</v>
      </c>
      <c r="L57" s="91">
        <f>L46*Założenia!K321*Założenia!$E$166*Założenia!$E$107*Założenia!L100/1000000+L48*Założenia!K331*Założenia!$E$167*Założenia!$E$107*Założenia!L100/1000000</f>
        <v>221.81192244809677</v>
      </c>
      <c r="M57" s="91">
        <f>M46*Założenia!L321*Założenia!$E$166*Założenia!$E$107*Założenia!M100/1000000+M48*Założenia!L331*Założenia!$E$167*Założenia!$E$107*Założenia!M100/1000000</f>
        <v>215.47443894957971</v>
      </c>
      <c r="N57" s="91">
        <f>N46*Założenia!M321*Założenia!$E$166*Założenia!$E$107*Założenia!N100/1000000+N48*Założenia!M331*Założenia!$E$167*Założenia!$E$107*Założenia!N100/1000000</f>
        <v>209.13695545106265</v>
      </c>
      <c r="O57" s="91">
        <f>O46*Założenia!N321*Założenia!$E$166*Założenia!$E$107*Założenia!O100/1000000+O48*Założenia!N331*Założenia!$E$167*Założenia!$E$107*Założenia!O100/1000000</f>
        <v>197.72948515373199</v>
      </c>
      <c r="P57" s="91">
        <f>P46*Założenia!O321*Założenia!$E$166*Założenia!$E$107*Założenia!P100/1000000+P48*Założenia!O331*Założenia!$E$167*Założenia!$E$107*Założenia!P100/1000000</f>
        <v>186.32201485640127</v>
      </c>
      <c r="Q57" s="91">
        <f>Q46*Założenia!P321*Założenia!$E$166*Założenia!$E$107*Założenia!Q100/1000000+Q48*Założenia!P331*Założenia!$E$167*Założenia!$E$107*Założenia!Q100/1000000</f>
        <v>174.91454455907058</v>
      </c>
      <c r="R57" s="91">
        <f>R46*Założenia!Q321*Założenia!$E$166*Założenia!$E$107*Założenia!R100/1000000+R48*Założenia!Q331*Założenia!$E$167*Założenia!$E$107*Założenia!R100/1000000</f>
        <v>163.50707426173989</v>
      </c>
      <c r="S57" s="91">
        <f>S46*Założenia!R321*Założenia!$E$166*Założenia!$E$107*Założenia!S100/1000000+S48*Założenia!R331*Założenia!$E$167*Założenia!$E$107*Założenia!S100/1000000</f>
        <v>152.0996039644092</v>
      </c>
      <c r="T57" s="91">
        <f>T46*Założenia!S321*Założenia!$E$166*Założenia!$E$107*Założenia!T100/1000000+T48*Założenia!S331*Założenia!$E$167*Założenia!$E$107*Założenia!T100/1000000</f>
        <v>137.84026609274585</v>
      </c>
    </row>
    <row r="58" spans="1:21" s="23" customFormat="1">
      <c r="A58" s="37" t="s">
        <v>34</v>
      </c>
      <c r="B58" s="133" t="s">
        <v>152</v>
      </c>
      <c r="C58" s="175" t="s">
        <v>0</v>
      </c>
      <c r="D58" s="175"/>
      <c r="E58" s="92">
        <f>((E60)*Założenia!E87+E67*Założenia!E87)+((E69)*Założenia!E90+E76*Założenia!E90)+((E78)*Założenia!E88+E85*Założenia!E88)</f>
        <v>102233.49015428929</v>
      </c>
      <c r="F58" s="92">
        <f>((F60)*Założenia!F87+F67*Założenia!F87)+((F69)*Założenia!F90+F76*Założenia!F90)+((F78)*Założenia!F88+F85*Założenia!F88)</f>
        <v>101737.56170562502</v>
      </c>
      <c r="G58" s="92">
        <f>((G60)*Założenia!G87+G67*Założenia!G87)+((G69)*Założenia!G90+G76*Założenia!G90)+((G78)*Założenia!G88+G85*Założenia!G88)</f>
        <v>103831.974362733</v>
      </c>
      <c r="H58" s="92">
        <f>((H60)*Założenia!H87+H67*Założenia!H87)+((H69)*Założenia!H90+H76*Założenia!H90)+((H78)*Założenia!H88+H85*Założenia!H88)</f>
        <v>105518.27437380167</v>
      </c>
      <c r="I58" s="92">
        <f>((I60)*Założenia!I87+I67*Założenia!I87)+((I69)*Założenia!I90+I76*Założenia!I90)+((I78)*Założenia!I88+I85*Założenia!I88)</f>
        <v>107890.20938104663</v>
      </c>
      <c r="J58" s="92">
        <f>((J60)*Założenia!J87+J67*Założenia!J87)+((J69)*Założenia!J90+J76*Założenia!J90)+((J78)*Założenia!J88+J85*Założenia!J88)</f>
        <v>110330.20078567979</v>
      </c>
      <c r="K58" s="92">
        <f>((K60)*Założenia!K87+K67*Założenia!K87)+((K69)*Założenia!K90+K76*Założenia!K90)+((K78)*Założenia!K88+K85*Założenia!K88)</f>
        <v>86775.008322308247</v>
      </c>
      <c r="L58" s="92">
        <f>((L60)*Założenia!L87+L67*Założenia!L87)+((L69)*Założenia!L90+L76*Założenia!L90)+((L78)*Założenia!L88+L85*Założenia!L88)</f>
        <v>88594.802288398481</v>
      </c>
      <c r="M58" s="92">
        <f>((M60)*Założenia!M87+M67*Założenia!M87)+((M69)*Założenia!M90+M76*Założenia!M90)+((M78)*Założenia!M88+M85*Założenia!M88)</f>
        <v>90392.419841867842</v>
      </c>
      <c r="N58" s="92">
        <f>((N60)*Założenia!N87+N67*Założenia!N87)+((N69)*Założenia!N90+N76*Założenia!N90)+((N78)*Założenia!N88+N85*Założenia!N88)</f>
        <v>91335.347670020215</v>
      </c>
      <c r="O58" s="92">
        <f>((O60)*Założenia!O87+O67*Założenia!O87)+((O69)*Założenia!O90+O76*Założenia!O90)+((O78)*Założenia!O88+O85*Założenia!O88)</f>
        <v>92209.291336284354</v>
      </c>
      <c r="P58" s="92">
        <f>((P60)*Założenia!P87+P67*Założenia!P87)+((P69)*Założenia!P90+P76*Założenia!P90)+((P78)*Założenia!P88+P85*Założenia!P88)</f>
        <v>93083.385983992004</v>
      </c>
      <c r="Q58" s="92">
        <f>((Q60)*Założenia!Q87+Q67*Założenia!Q87)+((Q69)*Założenia!Q90+Q76*Założenia!Q90)+((Q78)*Założenia!Q88+Q85*Założenia!Q88)</f>
        <v>93882.058446239913</v>
      </c>
      <c r="R58" s="92">
        <f>((R60)*Założenia!R87+R67*Założenia!R87)+((R69)*Założenia!R90+R76*Założenia!R90)+((R78)*Założenia!R88+R85*Założenia!R88)</f>
        <v>94601.041480485292</v>
      </c>
      <c r="S58" s="92">
        <f>((S60)*Założenia!S87+S67*Założenia!S87)+((S69)*Założenia!S90+S76*Założenia!S90)+((S78)*Założenia!S88+S85*Założenia!S88)</f>
        <v>94932.165723166894</v>
      </c>
      <c r="T58" s="92">
        <f>((T60)*Założenia!T87+T67*Założenia!T87)+((T69)*Założenia!T90+T76*Założenia!T90)+((T78)*Założenia!T88+T85*Założenia!T88)</f>
        <v>96092.408059441252</v>
      </c>
      <c r="U58" s="11"/>
    </row>
    <row r="59" spans="1:21" s="23" customFormat="1">
      <c r="A59" s="82" t="s">
        <v>48</v>
      </c>
      <c r="B59" s="96" t="s">
        <v>177</v>
      </c>
      <c r="C59" s="175" t="s">
        <v>216</v>
      </c>
      <c r="D59" s="175"/>
      <c r="E59" s="157">
        <f>E60+E67</f>
        <v>1.2741841621561498</v>
      </c>
      <c r="F59" s="157">
        <f t="shared" ref="F59:T59" si="13">F60+F67</f>
        <v>1.256852794300704</v>
      </c>
      <c r="G59" s="157">
        <f t="shared" si="13"/>
        <v>1.2524665729452582</v>
      </c>
      <c r="H59" s="157">
        <f t="shared" si="13"/>
        <v>1.2377204080752879</v>
      </c>
      <c r="I59" s="157">
        <f t="shared" si="13"/>
        <v>1.2333918550498639</v>
      </c>
      <c r="J59" s="157">
        <f t="shared" si="13"/>
        <v>1.2290633020244399</v>
      </c>
      <c r="K59" s="157">
        <f t="shared" si="13"/>
        <v>0.91870376442177593</v>
      </c>
      <c r="L59" s="157">
        <f t="shared" si="13"/>
        <v>0.91437521139635192</v>
      </c>
      <c r="M59" s="157">
        <f t="shared" si="13"/>
        <v>0.91004665837092791</v>
      </c>
      <c r="N59" s="157">
        <f t="shared" si="13"/>
        <v>0.89685596257239908</v>
      </c>
      <c r="O59" s="157">
        <f t="shared" si="13"/>
        <v>0.88366526677387014</v>
      </c>
      <c r="P59" s="157">
        <f t="shared" si="13"/>
        <v>0.8704745709753412</v>
      </c>
      <c r="Q59" s="157">
        <f t="shared" si="13"/>
        <v>0.85728387517681237</v>
      </c>
      <c r="R59" s="157">
        <f t="shared" si="13"/>
        <v>0.84409317937828332</v>
      </c>
      <c r="S59" s="157">
        <f t="shared" si="13"/>
        <v>0.8282142243323859</v>
      </c>
      <c r="T59" s="157">
        <f t="shared" si="13"/>
        <v>0.82027474680943724</v>
      </c>
      <c r="U59" s="11"/>
    </row>
    <row r="60" spans="1:21" s="23" customFormat="1">
      <c r="A60" s="82"/>
      <c r="B60" s="133" t="s">
        <v>314</v>
      </c>
      <c r="C60" s="175" t="s">
        <v>216</v>
      </c>
      <c r="D60" s="175"/>
      <c r="E60" s="157">
        <f>SUM(E61:E66)</f>
        <v>1.1955535000000002</v>
      </c>
      <c r="F60" s="157">
        <f t="shared" ref="F60:T60" si="14">SUM(F61:F66)</f>
        <v>1.1826083534999998</v>
      </c>
      <c r="G60" s="157">
        <f t="shared" si="14"/>
        <v>1.1826083534999998</v>
      </c>
      <c r="H60" s="157">
        <f t="shared" si="14"/>
        <v>0.94991719560064958</v>
      </c>
      <c r="I60" s="157">
        <f t="shared" si="14"/>
        <v>0.94991719560064958</v>
      </c>
      <c r="J60" s="157">
        <f t="shared" si="14"/>
        <v>0.94991719560064958</v>
      </c>
      <c r="K60" s="157">
        <f t="shared" si="14"/>
        <v>0.64388621102340959</v>
      </c>
      <c r="L60" s="157">
        <f t="shared" si="14"/>
        <v>0.64388621102340959</v>
      </c>
      <c r="M60" s="157">
        <f t="shared" si="14"/>
        <v>0.64388621102340959</v>
      </c>
      <c r="N60" s="157">
        <f t="shared" si="14"/>
        <v>0.64388621102340959</v>
      </c>
      <c r="O60" s="157">
        <f t="shared" si="14"/>
        <v>0.64388621102340959</v>
      </c>
      <c r="P60" s="157">
        <f t="shared" si="14"/>
        <v>0.64388621102340959</v>
      </c>
      <c r="Q60" s="157">
        <f t="shared" si="14"/>
        <v>0.64388621102340959</v>
      </c>
      <c r="R60" s="157">
        <f t="shared" si="14"/>
        <v>0.64388621102340959</v>
      </c>
      <c r="S60" s="157">
        <f t="shared" si="14"/>
        <v>0.64388621102340959</v>
      </c>
      <c r="T60" s="157">
        <f t="shared" si="14"/>
        <v>0.64388621102340959</v>
      </c>
      <c r="U60" s="11"/>
    </row>
    <row r="61" spans="1:21" s="23" customFormat="1">
      <c r="A61" s="82"/>
      <c r="B61" s="96" t="s">
        <v>361</v>
      </c>
      <c r="C61" s="175" t="s">
        <v>216</v>
      </c>
      <c r="D61" s="175"/>
      <c r="E61" s="141">
        <f>Założenia!D312*Założenia!D$341*Założenia!$F63/1000000+Założenia!D324*Założenia!D$345*Założenia!$F71/1000000</f>
        <v>0</v>
      </c>
      <c r="F61" s="141">
        <f>Założenia!E312*Założenia!E$341*Założenia!$F63/1000000+Założenia!E324*Założenia!E$345*Założenia!$F71/1000000</f>
        <v>0</v>
      </c>
      <c r="G61" s="141">
        <f>Założenia!F312*Założenia!F$341*Założenia!$F63/1000000+Założenia!F324*Założenia!F$345*Założenia!$F71/1000000</f>
        <v>0</v>
      </c>
      <c r="H61" s="141">
        <f>Założenia!G312*Założenia!G$341*Założenia!$F63/1000000+Założenia!G324*Założenia!G$345*Założenia!$F71/1000000</f>
        <v>0</v>
      </c>
      <c r="I61" s="141">
        <f>Założenia!H312*Założenia!H$341*Założenia!$F63/1000000+Założenia!H324*Założenia!H$345*Założenia!$F71/1000000</f>
        <v>0</v>
      </c>
      <c r="J61" s="141">
        <f>Założenia!I312*Założenia!I$341*Założenia!$F63/1000000+Założenia!I324*Założenia!I$345*Założenia!$F71/1000000</f>
        <v>0</v>
      </c>
      <c r="K61" s="141">
        <f>Założenia!J312*Założenia!J$341*Założenia!$F63/1000000+Założenia!J324*Założenia!J$345*Założenia!$F71/1000000</f>
        <v>0</v>
      </c>
      <c r="L61" s="141">
        <f>Założenia!K312*Założenia!K$341*Założenia!$F63/1000000+Założenia!K324*Założenia!K$345*Założenia!$F71/1000000</f>
        <v>0</v>
      </c>
      <c r="M61" s="141">
        <f>Założenia!L312*Założenia!L$341*Założenia!$F63/1000000+Założenia!L324*Założenia!L$345*Założenia!$F71/1000000</f>
        <v>0</v>
      </c>
      <c r="N61" s="141">
        <f>Założenia!M312*Założenia!M$341*Założenia!$F63/1000000+Założenia!M324*Założenia!M$345*Założenia!$F71/1000000</f>
        <v>0</v>
      </c>
      <c r="O61" s="141">
        <f>Założenia!N312*Założenia!N$341*Założenia!$F63/1000000+Założenia!N324*Założenia!N$345*Założenia!$F71/1000000</f>
        <v>0</v>
      </c>
      <c r="P61" s="141">
        <f>Założenia!O312*Założenia!O$341*Założenia!$F63/1000000+Założenia!O324*Założenia!O$345*Założenia!$F71/1000000</f>
        <v>0</v>
      </c>
      <c r="Q61" s="141">
        <f>Założenia!P312*Założenia!P$341*Założenia!$F63/1000000+Założenia!P324*Założenia!P$345*Założenia!$F71/1000000</f>
        <v>0</v>
      </c>
      <c r="R61" s="141">
        <f>Założenia!Q312*Założenia!Q$341*Założenia!$F63/1000000+Założenia!Q324*Założenia!Q$345*Założenia!$F71/1000000</f>
        <v>0</v>
      </c>
      <c r="S61" s="141">
        <f>Założenia!R312*Założenia!R$341*Założenia!$F63/1000000+Założenia!R324*Założenia!R$345*Założenia!$F71/1000000</f>
        <v>0</v>
      </c>
      <c r="T61" s="141">
        <f>Założenia!S312*Założenia!S$341*Założenia!$F63/1000000+Założenia!S324*Założenia!S$345*Założenia!$F71/1000000</f>
        <v>0</v>
      </c>
      <c r="U61" s="11"/>
    </row>
    <row r="62" spans="1:21" s="28" customFormat="1" ht="12">
      <c r="A62" s="82"/>
      <c r="B62" s="96" t="s">
        <v>362</v>
      </c>
      <c r="C62" s="175" t="s">
        <v>216</v>
      </c>
      <c r="D62" s="175"/>
      <c r="E62" s="141">
        <f>Założenia!D313*Założenia!D$341*Założenia!$F64/1000000+Założenia!D325*Założenia!D$345*Założenia!$F72/1000000</f>
        <v>0</v>
      </c>
      <c r="F62" s="141">
        <f>Założenia!E313*Założenia!E$341*Założenia!$F64/1000000+Założenia!E325*Założenia!E$345*Założenia!$F72/1000000</f>
        <v>0</v>
      </c>
      <c r="G62" s="141">
        <f>Założenia!F313*Założenia!F$341*Założenia!$F64/1000000+Założenia!F325*Założenia!F$345*Założenia!$F72/1000000</f>
        <v>0</v>
      </c>
      <c r="H62" s="141">
        <f>Założenia!G313*Założenia!G$341*Założenia!$F64/1000000+Założenia!G325*Założenia!G$345*Założenia!$F72/1000000</f>
        <v>0</v>
      </c>
      <c r="I62" s="141">
        <f>Założenia!H313*Założenia!H$341*Założenia!$F64/1000000+Założenia!H325*Założenia!H$345*Założenia!$F72/1000000</f>
        <v>0</v>
      </c>
      <c r="J62" s="141">
        <f>Założenia!I313*Założenia!I$341*Założenia!$F64/1000000+Założenia!I325*Założenia!I$345*Założenia!$F72/1000000</f>
        <v>0</v>
      </c>
      <c r="K62" s="141">
        <f>Założenia!J313*Założenia!J$341*Założenia!$F64/1000000+Założenia!J325*Założenia!J$345*Założenia!$F72/1000000</f>
        <v>0</v>
      </c>
      <c r="L62" s="141">
        <f>Założenia!K313*Założenia!K$341*Założenia!$F64/1000000+Założenia!K325*Założenia!K$345*Założenia!$F72/1000000</f>
        <v>0</v>
      </c>
      <c r="M62" s="141">
        <f>Założenia!L313*Założenia!L$341*Założenia!$F64/1000000+Założenia!L325*Założenia!L$345*Założenia!$F72/1000000</f>
        <v>0</v>
      </c>
      <c r="N62" s="141">
        <f>Założenia!M313*Założenia!M$341*Założenia!$F64/1000000+Założenia!M325*Założenia!M$345*Założenia!$F72/1000000</f>
        <v>0</v>
      </c>
      <c r="O62" s="141">
        <f>Założenia!N313*Założenia!N$341*Założenia!$F64/1000000+Założenia!N325*Założenia!N$345*Założenia!$F72/1000000</f>
        <v>0</v>
      </c>
      <c r="P62" s="141">
        <f>Założenia!O313*Założenia!O$341*Założenia!$F64/1000000+Założenia!O325*Założenia!O$345*Założenia!$F72/1000000</f>
        <v>0</v>
      </c>
      <c r="Q62" s="141">
        <f>Założenia!P313*Założenia!P$341*Założenia!$F64/1000000+Założenia!P325*Założenia!P$345*Założenia!$F72/1000000</f>
        <v>0</v>
      </c>
      <c r="R62" s="141">
        <f>Założenia!Q313*Założenia!Q$341*Założenia!$F64/1000000+Założenia!Q325*Założenia!Q$345*Założenia!$F72/1000000</f>
        <v>0</v>
      </c>
      <c r="S62" s="141">
        <f>Założenia!R313*Założenia!R$341*Założenia!$F64/1000000+Założenia!R325*Założenia!R$345*Założenia!$F72/1000000</f>
        <v>0</v>
      </c>
      <c r="T62" s="141">
        <f>Założenia!S313*Założenia!S$341*Założenia!$F64/1000000+Założenia!S325*Założenia!S$345*Założenia!$F72/1000000</f>
        <v>0</v>
      </c>
      <c r="U62" s="11"/>
    </row>
    <row r="63" spans="1:21" s="28" customFormat="1" ht="12">
      <c r="A63" s="82"/>
      <c r="B63" s="96" t="s">
        <v>363</v>
      </c>
      <c r="C63" s="175" t="s">
        <v>216</v>
      </c>
      <c r="D63" s="175"/>
      <c r="E63" s="141">
        <f>Założenia!D314*Założenia!D$341*Założenia!$F65/1000000+Założenia!D326*Założenia!D$345*Założenia!$F73/1000000</f>
        <v>0</v>
      </c>
      <c r="F63" s="141">
        <f>Założenia!E314*Założenia!E$341*Założenia!$F65/1000000+Założenia!E326*Założenia!E$345*Założenia!$F73/1000000</f>
        <v>0</v>
      </c>
      <c r="G63" s="141">
        <f>Założenia!F314*Założenia!F$341*Założenia!$F65/1000000+Założenia!F326*Założenia!F$345*Założenia!$F73/1000000</f>
        <v>0</v>
      </c>
      <c r="H63" s="141">
        <f>Założenia!G314*Założenia!G$341*Założenia!$F65/1000000+Założenia!G326*Założenia!G$345*Założenia!$F73/1000000</f>
        <v>0</v>
      </c>
      <c r="I63" s="141">
        <f>Założenia!H314*Założenia!H$341*Założenia!$F65/1000000+Założenia!H326*Założenia!H$345*Założenia!$F73/1000000</f>
        <v>0</v>
      </c>
      <c r="J63" s="141">
        <f>Założenia!I314*Założenia!I$341*Założenia!$F65/1000000+Założenia!I326*Założenia!I$345*Założenia!$F73/1000000</f>
        <v>0</v>
      </c>
      <c r="K63" s="141">
        <f>Założenia!J314*Założenia!J$341*Założenia!$F65/1000000+Założenia!J326*Założenia!J$345*Założenia!$F73/1000000</f>
        <v>0</v>
      </c>
      <c r="L63" s="141">
        <f>Założenia!K314*Założenia!K$341*Założenia!$F65/1000000+Założenia!K326*Założenia!K$345*Założenia!$F73/1000000</f>
        <v>0</v>
      </c>
      <c r="M63" s="141">
        <f>Założenia!L314*Założenia!L$341*Założenia!$F65/1000000+Założenia!L326*Założenia!L$345*Założenia!$F73/1000000</f>
        <v>0</v>
      </c>
      <c r="N63" s="141">
        <f>Założenia!M314*Założenia!M$341*Założenia!$F65/1000000+Założenia!M326*Założenia!M$345*Założenia!$F73/1000000</f>
        <v>0</v>
      </c>
      <c r="O63" s="141">
        <f>Założenia!N314*Założenia!N$341*Założenia!$F65/1000000+Założenia!N326*Założenia!N$345*Założenia!$F73/1000000</f>
        <v>0</v>
      </c>
      <c r="P63" s="141">
        <f>Założenia!O314*Założenia!O$341*Założenia!$F65/1000000+Założenia!O326*Założenia!O$345*Założenia!$F73/1000000</f>
        <v>0</v>
      </c>
      <c r="Q63" s="141">
        <f>Założenia!P314*Założenia!P$341*Założenia!$F65/1000000+Założenia!P326*Założenia!P$345*Założenia!$F73/1000000</f>
        <v>0</v>
      </c>
      <c r="R63" s="141">
        <f>Założenia!Q314*Założenia!Q$341*Założenia!$F65/1000000+Założenia!Q326*Założenia!Q$345*Założenia!$F73/1000000</f>
        <v>0</v>
      </c>
      <c r="S63" s="141">
        <f>Założenia!R314*Założenia!R$341*Założenia!$F65/1000000+Założenia!R326*Założenia!R$345*Założenia!$F73/1000000</f>
        <v>0</v>
      </c>
      <c r="T63" s="141">
        <f>Założenia!S314*Założenia!S$341*Założenia!$F65/1000000+Założenia!S326*Założenia!S$345*Założenia!$F73/1000000</f>
        <v>0</v>
      </c>
      <c r="U63" s="11"/>
    </row>
    <row r="64" spans="1:21" s="28" customFormat="1" ht="12">
      <c r="A64" s="82"/>
      <c r="B64" s="96" t="s">
        <v>364</v>
      </c>
      <c r="C64" s="175" t="s">
        <v>216</v>
      </c>
      <c r="D64" s="175"/>
      <c r="E64" s="141">
        <f>Założenia!D315*Założenia!D$341*Założenia!$F66/1000000+Założenia!D327*Założenia!D$345*Założenia!$F74/1000000</f>
        <v>0</v>
      </c>
      <c r="F64" s="141">
        <f>Założenia!E315*Założenia!E$341*Założenia!$F66/1000000+Założenia!E327*Założenia!E$345*Założenia!$F74/1000000</f>
        <v>0</v>
      </c>
      <c r="G64" s="141">
        <f>Założenia!F315*Założenia!F$341*Założenia!$F66/1000000+Założenia!F327*Założenia!F$345*Założenia!$F74/1000000</f>
        <v>0</v>
      </c>
      <c r="H64" s="141">
        <f>Założenia!G315*Założenia!G$341*Założenia!$F66/1000000+Założenia!G327*Założenia!G$345*Założenia!$F74/1000000</f>
        <v>0</v>
      </c>
      <c r="I64" s="141">
        <f>Założenia!H315*Założenia!H$341*Założenia!$F66/1000000+Założenia!H327*Założenia!H$345*Założenia!$F74/1000000</f>
        <v>0</v>
      </c>
      <c r="J64" s="141">
        <f>Założenia!I315*Założenia!I$341*Założenia!$F66/1000000+Założenia!I327*Założenia!I$345*Założenia!$F74/1000000</f>
        <v>0</v>
      </c>
      <c r="K64" s="141">
        <f>Założenia!J315*Założenia!J$341*Założenia!$F66/1000000+Założenia!J327*Założenia!J$345*Założenia!$F74/1000000</f>
        <v>0</v>
      </c>
      <c r="L64" s="141">
        <f>Założenia!K315*Założenia!K$341*Założenia!$F66/1000000+Założenia!K327*Założenia!K$345*Założenia!$F74/1000000</f>
        <v>0</v>
      </c>
      <c r="M64" s="141">
        <f>Założenia!L315*Założenia!L$341*Założenia!$F66/1000000+Założenia!L327*Założenia!L$345*Założenia!$F74/1000000</f>
        <v>0</v>
      </c>
      <c r="N64" s="141">
        <f>Założenia!M315*Założenia!M$341*Założenia!$F66/1000000+Założenia!M327*Założenia!M$345*Założenia!$F74/1000000</f>
        <v>0</v>
      </c>
      <c r="O64" s="141">
        <f>Założenia!N315*Założenia!N$341*Założenia!$F66/1000000+Założenia!N327*Założenia!N$345*Założenia!$F74/1000000</f>
        <v>0</v>
      </c>
      <c r="P64" s="141">
        <f>Założenia!O315*Założenia!O$341*Założenia!$F66/1000000+Założenia!O327*Założenia!O$345*Założenia!$F74/1000000</f>
        <v>0</v>
      </c>
      <c r="Q64" s="141">
        <f>Założenia!P315*Założenia!P$341*Założenia!$F66/1000000+Założenia!P327*Założenia!P$345*Założenia!$F74/1000000</f>
        <v>0</v>
      </c>
      <c r="R64" s="141">
        <f>Założenia!Q315*Założenia!Q$341*Założenia!$F66/1000000+Założenia!Q327*Założenia!Q$345*Założenia!$F74/1000000</f>
        <v>0</v>
      </c>
      <c r="S64" s="141">
        <f>Założenia!R315*Założenia!R$341*Założenia!$F66/1000000+Założenia!R327*Założenia!R$345*Założenia!$F74/1000000</f>
        <v>0</v>
      </c>
      <c r="T64" s="141">
        <f>Założenia!S315*Założenia!S$341*Założenia!$F66/1000000+Założenia!S327*Założenia!S$345*Założenia!$F74/1000000</f>
        <v>0</v>
      </c>
      <c r="U64" s="11"/>
    </row>
    <row r="65" spans="1:21" s="28" customFormat="1" ht="12">
      <c r="A65" s="82"/>
      <c r="B65" s="96" t="s">
        <v>365</v>
      </c>
      <c r="C65" s="175" t="s">
        <v>216</v>
      </c>
      <c r="D65" s="175"/>
      <c r="E65" s="141">
        <f>Założenia!D316*Założenia!D$341*Założenia!$F67/1000000+Założenia!D318*Założenia!D$341*Założenia!$I67/1000000+Założenia!D328*Założenia!D$345*Założenia!$F75/1000000</f>
        <v>0.3940343764705882</v>
      </c>
      <c r="F65" s="141">
        <f>Założenia!E316*Założenia!E$341*Założenia!$F67/1000000+Założenia!E318*Założenia!E$341*Założenia!$I67/1000000+Założenia!E328*Założenia!E$345*Założenia!$F75/1000000</f>
        <v>0.38879342647058818</v>
      </c>
      <c r="G65" s="141">
        <f>Założenia!F316*Założenia!F$341*Założenia!$F67/1000000+Założenia!F318*Założenia!F$341*Założenia!$I67/1000000+Założenia!F328*Założenia!F$345*Założenia!$F75/1000000</f>
        <v>0.38879342647058818</v>
      </c>
      <c r="H65" s="141">
        <f>Założenia!G316*Założenia!G$341*Założenia!$F67/1000000+Założenia!G318*Założenia!G$341*Założenia!$I67/1000000+Założenia!G328*Założenia!G$345*Założenia!$F75/1000000</f>
        <v>0.37289615513750962</v>
      </c>
      <c r="I65" s="141">
        <f>Założenia!H316*Założenia!H$341*Założenia!$F67/1000000+Założenia!H318*Założenia!H$341*Założenia!$I67/1000000+Założenia!H328*Założenia!H$345*Założenia!$F75/1000000</f>
        <v>0.37289615513750962</v>
      </c>
      <c r="J65" s="141">
        <f>Założenia!I316*Założenia!I$341*Założenia!$F67/1000000+Założenia!I318*Założenia!I$341*Założenia!$I67/1000000+Założenia!I328*Założenia!I$345*Założenia!$F75/1000000</f>
        <v>0.37289615513750962</v>
      </c>
      <c r="K65" s="141">
        <f>Założenia!J316*Założenia!J$341*Założenia!$F67/1000000+Założenia!J318*Założenia!J$341*Założenia!$I67/1000000+Założenia!J328*Założenia!J$345*Założenia!$F75/1000000</f>
        <v>0</v>
      </c>
      <c r="L65" s="141">
        <f>Założenia!K316*Założenia!K$341*Założenia!$F67/1000000+Założenia!K318*Założenia!K$341*Założenia!$I67/1000000+Założenia!K328*Założenia!K$345*Założenia!$F75/1000000</f>
        <v>0</v>
      </c>
      <c r="M65" s="141">
        <f>Założenia!L316*Założenia!L$341*Założenia!$F67/1000000+Założenia!L318*Założenia!L$341*Założenia!$I67/1000000+Założenia!L328*Założenia!L$345*Założenia!$F75/1000000</f>
        <v>0</v>
      </c>
      <c r="N65" s="141">
        <f>Założenia!M316*Założenia!M$341*Założenia!$F67/1000000+Założenia!M318*Założenia!M$341*Założenia!$I67/1000000+Założenia!M328*Założenia!M$345*Założenia!$F75/1000000</f>
        <v>0</v>
      </c>
      <c r="O65" s="141">
        <f>Założenia!N316*Założenia!N$341*Założenia!$F67/1000000+Założenia!N318*Założenia!N$341*Założenia!$I67/1000000+Założenia!N328*Założenia!N$345*Założenia!$F75/1000000</f>
        <v>0</v>
      </c>
      <c r="P65" s="141">
        <f>Założenia!O316*Założenia!O$341*Założenia!$F67/1000000+Założenia!O318*Założenia!O$341*Założenia!$I67/1000000+Założenia!O328*Założenia!O$345*Założenia!$F75/1000000</f>
        <v>0</v>
      </c>
      <c r="Q65" s="141">
        <f>Założenia!P316*Założenia!P$341*Założenia!$F67/1000000+Założenia!P318*Założenia!P$341*Założenia!$I67/1000000+Założenia!P328*Założenia!P$345*Założenia!$F75/1000000</f>
        <v>0</v>
      </c>
      <c r="R65" s="141">
        <f>Założenia!Q316*Założenia!Q$341*Założenia!$F67/1000000+Założenia!Q318*Założenia!Q$341*Założenia!$I67/1000000+Założenia!Q328*Założenia!Q$345*Założenia!$F75/1000000</f>
        <v>0</v>
      </c>
      <c r="S65" s="141">
        <f>Założenia!R316*Założenia!R$341*Założenia!$F67/1000000+Założenia!R318*Założenia!R$341*Założenia!$I67/1000000+Założenia!R328*Założenia!R$345*Założenia!$F75/1000000</f>
        <v>0</v>
      </c>
      <c r="T65" s="141">
        <f>Założenia!S316*Założenia!S$341*Założenia!$F67/1000000+Założenia!S318*Założenia!S$341*Założenia!$I67/1000000+Założenia!S328*Założenia!S$345*Założenia!$F75/1000000</f>
        <v>0</v>
      </c>
      <c r="U65" s="11"/>
    </row>
    <row r="66" spans="1:21" s="28" customFormat="1" ht="12">
      <c r="A66" s="82"/>
      <c r="B66" s="96" t="s">
        <v>367</v>
      </c>
      <c r="C66" s="175" t="s">
        <v>216</v>
      </c>
      <c r="D66" s="175"/>
      <c r="E66" s="141">
        <f>Założenia!D317*Założenia!D$341*Założenia!$F68/1000000+Założenia!D319*Założenia!D$341*Założenia!$I68/1000000+Założenia!D329*Założenia!D$345*Założenia!$F76/1000000+Założenia!D330*Założenia!D$345*Założenia!$I76/1000000</f>
        <v>0.8015191235294119</v>
      </c>
      <c r="F66" s="141">
        <f>Założenia!E317*Założenia!E$341*Założenia!$F68/1000000+Założenia!E319*Założenia!E$341*Założenia!$I68/1000000+Założenia!E329*Założenia!E$345*Założenia!$F76/1000000+Założenia!E330*Założenia!E$345*Założenia!$I76/1000000</f>
        <v>0.7938149270294117</v>
      </c>
      <c r="G66" s="141">
        <f>Założenia!F317*Założenia!F$341*Założenia!$F68/1000000+Założenia!F319*Założenia!F$341*Założenia!$I68/1000000+Założenia!F329*Założenia!F$345*Założenia!$F76/1000000+Założenia!F330*Założenia!F$345*Założenia!$I76/1000000</f>
        <v>0.7938149270294117</v>
      </c>
      <c r="H66" s="141">
        <f>Założenia!G317*Założenia!G$341*Założenia!$F68/1000000+Założenia!G319*Założenia!G$341*Założenia!$I68/1000000+Założenia!G329*Założenia!G$345*Założenia!$F76/1000000+Założenia!G330*Założenia!G$345*Założenia!$I76/1000000</f>
        <v>0.57702104046313996</v>
      </c>
      <c r="I66" s="141">
        <f>Założenia!H317*Założenia!H$341*Założenia!$F68/1000000+Założenia!H319*Założenia!H$341*Założenia!$I68/1000000+Założenia!H329*Założenia!H$345*Założenia!$F76/1000000+Założenia!H330*Założenia!H$345*Założenia!$I76/1000000</f>
        <v>0.57702104046313996</v>
      </c>
      <c r="J66" s="141">
        <f>Założenia!I317*Założenia!I$341*Założenia!$F68/1000000+Założenia!I319*Założenia!I$341*Założenia!$I68/1000000+Założenia!I329*Założenia!I$345*Założenia!$F76/1000000+Założenia!I330*Założenia!I$345*Założenia!$I76/1000000</f>
        <v>0.57702104046313996</v>
      </c>
      <c r="K66" s="141">
        <f>Założenia!J317*Założenia!J$341*Założenia!$F68/1000000+Założenia!J319*Założenia!J$341*Założenia!$I68/1000000+Założenia!J329*Założenia!J$345*Założenia!$F76/1000000+Założenia!J330*Założenia!J$345*Założenia!$I76/1000000</f>
        <v>0.64388621102340959</v>
      </c>
      <c r="L66" s="141">
        <f>Założenia!K317*Założenia!K$341*Założenia!$F68/1000000+Założenia!K319*Założenia!K$341*Założenia!$I68/1000000+Założenia!K329*Założenia!K$345*Założenia!$F76/1000000+Założenia!K330*Założenia!K$345*Założenia!$I76/1000000</f>
        <v>0.64388621102340959</v>
      </c>
      <c r="M66" s="141">
        <f>Założenia!L317*Założenia!L$341*Założenia!$F68/1000000+Założenia!L319*Założenia!L$341*Założenia!$I68/1000000+Założenia!L329*Założenia!L$345*Założenia!$F76/1000000+Założenia!L330*Założenia!L$345*Założenia!$I76/1000000</f>
        <v>0.64388621102340959</v>
      </c>
      <c r="N66" s="141">
        <f>Założenia!M317*Założenia!M$341*Założenia!$F68/1000000+Założenia!M319*Założenia!M$341*Założenia!$I68/1000000+Założenia!M329*Założenia!M$345*Założenia!$F76/1000000+Założenia!M330*Założenia!M$345*Założenia!$I76/1000000</f>
        <v>0.64388621102340959</v>
      </c>
      <c r="O66" s="141">
        <f>Założenia!N317*Założenia!N$341*Założenia!$F68/1000000+Założenia!N319*Założenia!N$341*Założenia!$I68/1000000+Założenia!N329*Założenia!N$345*Założenia!$F76/1000000+Założenia!N330*Założenia!N$345*Założenia!$I76/1000000</f>
        <v>0.64388621102340959</v>
      </c>
      <c r="P66" s="141">
        <f>Założenia!O317*Założenia!O$341*Założenia!$F68/1000000+Założenia!O319*Założenia!O$341*Założenia!$I68/1000000+Założenia!O329*Założenia!O$345*Założenia!$F76/1000000+Założenia!O330*Założenia!O$345*Założenia!$I76/1000000</f>
        <v>0.64388621102340959</v>
      </c>
      <c r="Q66" s="141">
        <f>Założenia!P317*Założenia!P$341*Założenia!$F68/1000000+Założenia!P319*Założenia!P$341*Założenia!$I68/1000000+Założenia!P329*Założenia!P$345*Założenia!$F76/1000000+Założenia!P330*Założenia!P$345*Założenia!$I76/1000000</f>
        <v>0.64388621102340959</v>
      </c>
      <c r="R66" s="141">
        <f>Założenia!Q317*Założenia!Q$341*Założenia!$F68/1000000+Założenia!Q319*Założenia!Q$341*Założenia!$I68/1000000+Założenia!Q329*Założenia!Q$345*Założenia!$F76/1000000+Założenia!Q330*Założenia!Q$345*Założenia!$I76/1000000</f>
        <v>0.64388621102340959</v>
      </c>
      <c r="S66" s="141">
        <f>Założenia!R317*Założenia!R$341*Założenia!$F68/1000000+Założenia!R319*Założenia!R$341*Założenia!$I68/1000000+Założenia!R329*Założenia!R$345*Założenia!$F76/1000000+Założenia!R330*Założenia!R$345*Założenia!$I76/1000000</f>
        <v>0.64388621102340959</v>
      </c>
      <c r="T66" s="141">
        <f>Założenia!S317*Założenia!S$341*Założenia!$F68/1000000+Założenia!S319*Założenia!S$341*Założenia!$I68/1000000+Założenia!S329*Założenia!S$345*Założenia!$F76/1000000+Założenia!S330*Założenia!S$345*Założenia!$I76/1000000</f>
        <v>0.64388621102340959</v>
      </c>
      <c r="U66" s="11"/>
    </row>
    <row r="67" spans="1:21" s="1" customFormat="1" ht="12">
      <c r="A67" s="82"/>
      <c r="B67" s="94" t="s">
        <v>230</v>
      </c>
      <c r="C67" s="175" t="s">
        <v>216</v>
      </c>
      <c r="D67" s="252"/>
      <c r="E67" s="157">
        <f>Założenia!D321*Założenia!D$343*Założenia!$E$166*Założenia!$E$107*Założenia!E83/1000000+Założenia!D331*Założenia!D$346*Założenia!$E$167*Założenia!$E$107*Założenia!E83/1000000</f>
        <v>7.8630662156149722E-2</v>
      </c>
      <c r="F67" s="157">
        <f>Założenia!E321*Założenia!E$343*Założenia!$E$166*Założenia!$E$107*Założenia!F83/1000000+Założenia!E331*Założenia!E$346*Założenia!$E$167*Założenia!$E$107*Założenia!F83/1000000</f>
        <v>7.4244440800704067E-2</v>
      </c>
      <c r="G67" s="157">
        <f>Założenia!F321*Założenia!F$343*Założenia!$E$166*Założenia!$E$107*Założenia!G83/1000000+Założenia!F331*Założenia!F$346*Założenia!$E$167*Założenia!$E$107*Założenia!G83/1000000</f>
        <v>6.9858219445258427E-2</v>
      </c>
      <c r="H67" s="157">
        <f>Założenia!G321*Założenia!G$343*Założenia!$E$166*Założenia!$E$107*Założenia!H83/1000000+Założenia!G331*Założenia!G$346*Założenia!$E$167*Założenia!$E$107*Założenia!H83/1000000</f>
        <v>0.2878032124746383</v>
      </c>
      <c r="I67" s="157">
        <f>Założenia!H321*Założenia!H$343*Założenia!$E$166*Założenia!$E$107*Założenia!I83/1000000+Założenia!H331*Założenia!H$346*Założenia!$E$167*Założenia!$E$107*Założenia!I83/1000000</f>
        <v>0.28347465944921429</v>
      </c>
      <c r="J67" s="157">
        <f>Założenia!I321*Założenia!I$343*Założenia!$E$166*Założenia!$E$107*Założenia!J83/1000000+Założenia!I331*Założenia!I$346*Założenia!$E$167*Założenia!$E$107*Założenia!J83/1000000</f>
        <v>0.27914610642379029</v>
      </c>
      <c r="K67" s="157">
        <f>Założenia!J321*Założenia!J$343*Założenia!$E$166*Założenia!$E$107*Założenia!K83/1000000+Założenia!J331*Założenia!J$346*Założenia!$E$167*Założenia!$E$107*Założenia!K83/1000000</f>
        <v>0.27481755339836628</v>
      </c>
      <c r="L67" s="157">
        <f>Założenia!K321*Założenia!K$343*Założenia!$E$166*Założenia!$E$107*Założenia!L83/1000000+Założenia!K331*Założenia!K$346*Założenia!$E$167*Założenia!$E$107*Założenia!L83/1000000</f>
        <v>0.27048900037294232</v>
      </c>
      <c r="M67" s="157">
        <f>Założenia!L321*Założenia!L$343*Założenia!$E$166*Założenia!$E$107*Założenia!M83/1000000+Założenia!L331*Założenia!L$346*Założenia!$E$167*Założenia!$E$107*Założenia!M83/1000000</f>
        <v>0.26616044734751837</v>
      </c>
      <c r="N67" s="157">
        <f>Założenia!M321*Założenia!M$343*Założenia!$E$166*Założenia!$E$107*Założenia!N83/1000000+Założenia!M331*Założenia!M$346*Założenia!$E$167*Założenia!$E$107*Założenia!N83/1000000</f>
        <v>0.25296975154898943</v>
      </c>
      <c r="O67" s="157">
        <f>Założenia!N321*Założenia!N$343*Założenia!$E$166*Założenia!$E$107*Założenia!O83/1000000+Założenia!N331*Założenia!N$346*Założenia!$E$167*Założenia!$E$107*Założenia!O83/1000000</f>
        <v>0.23977905575046055</v>
      </c>
      <c r="P67" s="157">
        <f>Założenia!O321*Założenia!O$343*Założenia!$E$166*Założenia!$E$107*Założenia!P83/1000000+Założenia!O331*Założenia!O$346*Założenia!$E$167*Założenia!$E$107*Założenia!P83/1000000</f>
        <v>0.22658835995193163</v>
      </c>
      <c r="Q67" s="157">
        <f>Założenia!P321*Założenia!P$343*Założenia!$E$166*Założenia!$E$107*Założenia!Q83/1000000+Założenia!P331*Założenia!P$346*Założenia!$E$167*Założenia!$E$107*Założenia!Q83/1000000</f>
        <v>0.21339766415340272</v>
      </c>
      <c r="R67" s="157">
        <f>Założenia!Q321*Założenia!Q$343*Założenia!$E$166*Założenia!$E$107*Założenia!R83/1000000+Założenia!Q331*Założenia!Q$346*Założenia!$E$167*Założenia!$E$107*Założenia!R83/1000000</f>
        <v>0.20020696835487378</v>
      </c>
      <c r="S67" s="157">
        <f>Założenia!R321*Założenia!R$343*Założenia!$E$166*Założenia!$E$107*Założenia!S83/1000000+Założenia!R331*Założenia!R$346*Założenia!$E$167*Założenia!$E$107*Założenia!S83/1000000</f>
        <v>0.18432801330897633</v>
      </c>
      <c r="T67" s="157">
        <f>Założenia!S321*Założenia!S$343*Założenia!$E$166*Założenia!$E$107*Założenia!T83/1000000+Założenia!S331*Założenia!S$346*Założenia!$E$167*Założenia!$E$107*Założenia!T83/1000000</f>
        <v>0.17638853578602762</v>
      </c>
    </row>
    <row r="68" spans="1:21" s="23" customFormat="1">
      <c r="A68" s="82" t="s">
        <v>49</v>
      </c>
      <c r="B68" s="96" t="s">
        <v>178</v>
      </c>
      <c r="C68" s="175" t="s">
        <v>217</v>
      </c>
      <c r="D68" s="175"/>
      <c r="E68" s="157">
        <f>E69+E76</f>
        <v>2.613223108032086E-2</v>
      </c>
      <c r="F68" s="157">
        <f t="shared" ref="F68:T68" si="15">F69+F76</f>
        <v>2.5767075438371152E-2</v>
      </c>
      <c r="G68" s="157">
        <f t="shared" si="15"/>
        <v>2.5646934208921453E-2</v>
      </c>
      <c r="H68" s="157">
        <f t="shared" si="15"/>
        <v>2.603832973547654E-2</v>
      </c>
      <c r="I68" s="157">
        <f t="shared" si="15"/>
        <v>2.5920688769243947E-2</v>
      </c>
      <c r="J68" s="157">
        <f t="shared" si="15"/>
        <v>2.5803047803011354E-2</v>
      </c>
      <c r="K68" s="157">
        <f t="shared" si="15"/>
        <v>2.3628074549410405E-2</v>
      </c>
      <c r="L68" s="157">
        <f t="shared" si="15"/>
        <v>2.3510433583177812E-2</v>
      </c>
      <c r="M68" s="157">
        <f t="shared" si="15"/>
        <v>2.339279261694522E-2</v>
      </c>
      <c r="N68" s="157">
        <f t="shared" si="15"/>
        <v>2.3030382543551265E-2</v>
      </c>
      <c r="O68" s="157">
        <f t="shared" si="15"/>
        <v>2.266797247015731E-2</v>
      </c>
      <c r="P68" s="157">
        <f t="shared" si="15"/>
        <v>2.2305562396763356E-2</v>
      </c>
      <c r="Q68" s="157">
        <f t="shared" si="15"/>
        <v>2.1943152323369401E-2</v>
      </c>
      <c r="R68" s="157">
        <f t="shared" si="15"/>
        <v>2.1580742249975447E-2</v>
      </c>
      <c r="S68" s="157">
        <f t="shared" si="15"/>
        <v>2.1149075801299398E-2</v>
      </c>
      <c r="T68" s="157">
        <f t="shared" si="15"/>
        <v>2.0933242576961379E-2</v>
      </c>
      <c r="U68" s="11"/>
    </row>
    <row r="69" spans="1:21" s="23" customFormat="1">
      <c r="A69" s="82"/>
      <c r="B69" s="133" t="s">
        <v>314</v>
      </c>
      <c r="C69" s="175" t="s">
        <v>217</v>
      </c>
      <c r="D69" s="175"/>
      <c r="E69" s="157">
        <f>SUM(E70:E75)</f>
        <v>2.397832185294118E-2</v>
      </c>
      <c r="F69" s="157">
        <f t="shared" ref="F69:T69" si="16">SUM(F70:F75)</f>
        <v>2.3733307440441175E-2</v>
      </c>
      <c r="G69" s="157">
        <f t="shared" si="16"/>
        <v>2.3733307440441175E-2</v>
      </c>
      <c r="H69" s="157">
        <f t="shared" si="16"/>
        <v>1.8154487562953597E-2</v>
      </c>
      <c r="I69" s="157">
        <f t="shared" si="16"/>
        <v>1.8154487562953597E-2</v>
      </c>
      <c r="J69" s="157">
        <f t="shared" si="16"/>
        <v>1.8154487562953597E-2</v>
      </c>
      <c r="K69" s="157">
        <f t="shared" si="16"/>
        <v>1.6097155275585241E-2</v>
      </c>
      <c r="L69" s="157">
        <f t="shared" si="16"/>
        <v>1.6097155275585241E-2</v>
      </c>
      <c r="M69" s="157">
        <f t="shared" si="16"/>
        <v>1.6097155275585241E-2</v>
      </c>
      <c r="N69" s="157">
        <f t="shared" si="16"/>
        <v>1.6097155275585241E-2</v>
      </c>
      <c r="O69" s="157">
        <f t="shared" si="16"/>
        <v>1.6097155275585241E-2</v>
      </c>
      <c r="P69" s="157">
        <f t="shared" si="16"/>
        <v>1.6097155275585241E-2</v>
      </c>
      <c r="Q69" s="157">
        <f t="shared" si="16"/>
        <v>1.6097155275585241E-2</v>
      </c>
      <c r="R69" s="157">
        <f t="shared" si="16"/>
        <v>1.6097155275585241E-2</v>
      </c>
      <c r="S69" s="157">
        <f t="shared" si="16"/>
        <v>1.6097155275585241E-2</v>
      </c>
      <c r="T69" s="157">
        <f t="shared" si="16"/>
        <v>1.6097155275585241E-2</v>
      </c>
      <c r="U69" s="11"/>
    </row>
    <row r="70" spans="1:21" s="23" customFormat="1">
      <c r="A70" s="82"/>
      <c r="B70" s="96" t="s">
        <v>361</v>
      </c>
      <c r="C70" s="175" t="s">
        <v>217</v>
      </c>
      <c r="D70" s="175"/>
      <c r="E70" s="141">
        <f>Założenia!D312*Założenia!D$341*Założenia!$G63/1000000+Założenia!D324*Założenia!D$345*Założenia!$G71/1000000</f>
        <v>0</v>
      </c>
      <c r="F70" s="141">
        <f>Założenia!E312*Założenia!E$341*Założenia!$G63/1000000+Założenia!E324*Założenia!E$345*Założenia!$G71/1000000</f>
        <v>0</v>
      </c>
      <c r="G70" s="141">
        <f>Założenia!F312*Założenia!F$341*Założenia!$G63/1000000+Założenia!F324*Założenia!F$345*Założenia!$G71/1000000</f>
        <v>0</v>
      </c>
      <c r="H70" s="141">
        <f>Założenia!G312*Założenia!G$341*Założenia!$G63/1000000+Założenia!G324*Założenia!G$345*Założenia!$G71/1000000</f>
        <v>0</v>
      </c>
      <c r="I70" s="141">
        <f>Założenia!H312*Założenia!H$341*Założenia!$G63/1000000+Założenia!H324*Założenia!H$345*Założenia!$G71/1000000</f>
        <v>0</v>
      </c>
      <c r="J70" s="141">
        <f>Założenia!I312*Założenia!I$341*Założenia!$G63/1000000+Założenia!I324*Założenia!I$345*Założenia!$G71/1000000</f>
        <v>0</v>
      </c>
      <c r="K70" s="141">
        <f>Założenia!J312*Założenia!J$341*Założenia!$G63/1000000+Założenia!J324*Założenia!J$345*Założenia!$G71/1000000</f>
        <v>0</v>
      </c>
      <c r="L70" s="141">
        <f>Założenia!K312*Założenia!K$341*Założenia!$G63/1000000+Założenia!K324*Założenia!K$345*Założenia!$G71/1000000</f>
        <v>0</v>
      </c>
      <c r="M70" s="141">
        <f>Założenia!L312*Założenia!L$341*Założenia!$G63/1000000+Założenia!L324*Założenia!L$345*Założenia!$G71/1000000</f>
        <v>0</v>
      </c>
      <c r="N70" s="141">
        <f>Założenia!M312*Założenia!M$341*Założenia!$G63/1000000+Założenia!M324*Założenia!M$345*Założenia!$G71/1000000</f>
        <v>0</v>
      </c>
      <c r="O70" s="141">
        <f>Założenia!N312*Założenia!N$341*Założenia!$G63/1000000+Założenia!N324*Założenia!N$345*Założenia!$G71/1000000</f>
        <v>0</v>
      </c>
      <c r="P70" s="141">
        <f>Założenia!O312*Założenia!O$341*Założenia!$G63/1000000+Założenia!O324*Założenia!O$345*Założenia!$G71/1000000</f>
        <v>0</v>
      </c>
      <c r="Q70" s="141">
        <f>Założenia!P312*Założenia!P$341*Założenia!$G63/1000000+Założenia!P324*Założenia!P$345*Założenia!$G71/1000000</f>
        <v>0</v>
      </c>
      <c r="R70" s="141">
        <f>Założenia!Q312*Założenia!Q$341*Założenia!$G63/1000000+Założenia!Q324*Założenia!Q$345*Założenia!$G71/1000000</f>
        <v>0</v>
      </c>
      <c r="S70" s="141">
        <f>Założenia!R312*Założenia!R$341*Założenia!$G63/1000000+Założenia!R324*Założenia!R$345*Założenia!$G71/1000000</f>
        <v>0</v>
      </c>
      <c r="T70" s="141">
        <f>Założenia!S312*Założenia!S$341*Założenia!$G63/1000000+Założenia!S324*Założenia!S$345*Założenia!$G71/1000000</f>
        <v>0</v>
      </c>
      <c r="U70" s="11"/>
    </row>
    <row r="71" spans="1:21" s="28" customFormat="1" ht="12">
      <c r="A71" s="82"/>
      <c r="B71" s="96" t="s">
        <v>362</v>
      </c>
      <c r="C71" s="175" t="s">
        <v>217</v>
      </c>
      <c r="D71" s="175"/>
      <c r="E71" s="141">
        <f>Założenia!D313*Założenia!D$341*Założenia!$G64/1000000+Założenia!D325*Założenia!D$345*Założenia!$G72/1000000</f>
        <v>0</v>
      </c>
      <c r="F71" s="141">
        <f>Założenia!E313*Założenia!E$341*Założenia!$G64/1000000+Założenia!E325*Założenia!E$345*Założenia!$G72/1000000</f>
        <v>0</v>
      </c>
      <c r="G71" s="141">
        <f>Założenia!F313*Założenia!F$341*Założenia!$G64/1000000+Założenia!F325*Założenia!F$345*Założenia!$G72/1000000</f>
        <v>0</v>
      </c>
      <c r="H71" s="141">
        <f>Założenia!G313*Założenia!G$341*Założenia!$G64/1000000+Założenia!G325*Założenia!G$345*Założenia!$G72/1000000</f>
        <v>0</v>
      </c>
      <c r="I71" s="141">
        <f>Założenia!H313*Założenia!H$341*Założenia!$G64/1000000+Założenia!H325*Założenia!H$345*Założenia!$G72/1000000</f>
        <v>0</v>
      </c>
      <c r="J71" s="141">
        <f>Założenia!I313*Założenia!I$341*Założenia!$G64/1000000+Założenia!I325*Założenia!I$345*Założenia!$G72/1000000</f>
        <v>0</v>
      </c>
      <c r="K71" s="141">
        <f>Założenia!J313*Założenia!J$341*Założenia!$G64/1000000+Założenia!J325*Założenia!J$345*Założenia!$G72/1000000</f>
        <v>0</v>
      </c>
      <c r="L71" s="141">
        <f>Założenia!K313*Założenia!K$341*Założenia!$G64/1000000+Założenia!K325*Założenia!K$345*Założenia!$G72/1000000</f>
        <v>0</v>
      </c>
      <c r="M71" s="141">
        <f>Założenia!L313*Założenia!L$341*Założenia!$G64/1000000+Założenia!L325*Założenia!L$345*Założenia!$G72/1000000</f>
        <v>0</v>
      </c>
      <c r="N71" s="141">
        <f>Założenia!M313*Założenia!M$341*Założenia!$G64/1000000+Założenia!M325*Założenia!M$345*Założenia!$G72/1000000</f>
        <v>0</v>
      </c>
      <c r="O71" s="141">
        <f>Założenia!N313*Założenia!N$341*Założenia!$G64/1000000+Założenia!N325*Założenia!N$345*Założenia!$G72/1000000</f>
        <v>0</v>
      </c>
      <c r="P71" s="141">
        <f>Założenia!O313*Założenia!O$341*Założenia!$G64/1000000+Założenia!O325*Założenia!O$345*Założenia!$G72/1000000</f>
        <v>0</v>
      </c>
      <c r="Q71" s="141">
        <f>Założenia!P313*Założenia!P$341*Założenia!$G64/1000000+Założenia!P325*Założenia!P$345*Założenia!$G72/1000000</f>
        <v>0</v>
      </c>
      <c r="R71" s="141">
        <f>Założenia!Q313*Założenia!Q$341*Założenia!$G64/1000000+Założenia!Q325*Założenia!Q$345*Założenia!$G72/1000000</f>
        <v>0</v>
      </c>
      <c r="S71" s="141">
        <f>Założenia!R313*Założenia!R$341*Założenia!$G64/1000000+Założenia!R325*Założenia!R$345*Założenia!$G72/1000000</f>
        <v>0</v>
      </c>
      <c r="T71" s="141">
        <f>Założenia!S313*Założenia!S$341*Założenia!$G64/1000000+Założenia!S325*Założenia!S$345*Założenia!$G72/1000000</f>
        <v>0</v>
      </c>
      <c r="U71" s="11"/>
    </row>
    <row r="72" spans="1:21" s="28" customFormat="1" ht="12">
      <c r="A72" s="82"/>
      <c r="B72" s="96" t="s">
        <v>363</v>
      </c>
      <c r="C72" s="175" t="s">
        <v>217</v>
      </c>
      <c r="D72" s="175"/>
      <c r="E72" s="141">
        <f>Założenia!D314*Założenia!D$341*Założenia!$G65/1000000+Założenia!D326*Założenia!D$345*Założenia!$G73/1000000</f>
        <v>0</v>
      </c>
      <c r="F72" s="141">
        <f>Założenia!E314*Założenia!E$341*Założenia!$G65/1000000+Założenia!E326*Założenia!E$345*Założenia!$G73/1000000</f>
        <v>0</v>
      </c>
      <c r="G72" s="141">
        <f>Założenia!F314*Założenia!F$341*Założenia!$G65/1000000+Założenia!F326*Założenia!F$345*Założenia!$G73/1000000</f>
        <v>0</v>
      </c>
      <c r="H72" s="141">
        <f>Założenia!G314*Założenia!G$341*Założenia!$G65/1000000+Założenia!G326*Założenia!G$345*Założenia!$G73/1000000</f>
        <v>0</v>
      </c>
      <c r="I72" s="141">
        <f>Założenia!H314*Założenia!H$341*Założenia!$G65/1000000+Założenia!H326*Założenia!H$345*Założenia!$G73/1000000</f>
        <v>0</v>
      </c>
      <c r="J72" s="141">
        <f>Założenia!I314*Założenia!I$341*Założenia!$G65/1000000+Założenia!I326*Założenia!I$345*Założenia!$G73/1000000</f>
        <v>0</v>
      </c>
      <c r="K72" s="141">
        <f>Założenia!J314*Założenia!J$341*Założenia!$G65/1000000+Założenia!J326*Założenia!J$345*Założenia!$G73/1000000</f>
        <v>0</v>
      </c>
      <c r="L72" s="141">
        <f>Założenia!K314*Założenia!K$341*Założenia!$G65/1000000+Założenia!K326*Założenia!K$345*Założenia!$G73/1000000</f>
        <v>0</v>
      </c>
      <c r="M72" s="141">
        <f>Założenia!L314*Założenia!L$341*Założenia!$G65/1000000+Założenia!L326*Założenia!L$345*Założenia!$G73/1000000</f>
        <v>0</v>
      </c>
      <c r="N72" s="141">
        <f>Założenia!M314*Założenia!M$341*Założenia!$G65/1000000+Założenia!M326*Założenia!M$345*Założenia!$G73/1000000</f>
        <v>0</v>
      </c>
      <c r="O72" s="141">
        <f>Założenia!N314*Założenia!N$341*Założenia!$G65/1000000+Założenia!N326*Założenia!N$345*Założenia!$G73/1000000</f>
        <v>0</v>
      </c>
      <c r="P72" s="141">
        <f>Założenia!O314*Założenia!O$341*Założenia!$G65/1000000+Założenia!O326*Założenia!O$345*Założenia!$G73/1000000</f>
        <v>0</v>
      </c>
      <c r="Q72" s="141">
        <f>Założenia!P314*Założenia!P$341*Założenia!$G65/1000000+Założenia!P326*Założenia!P$345*Założenia!$G73/1000000</f>
        <v>0</v>
      </c>
      <c r="R72" s="141">
        <f>Założenia!Q314*Założenia!Q$341*Założenia!$G65/1000000+Założenia!Q326*Założenia!Q$345*Założenia!$G73/1000000</f>
        <v>0</v>
      </c>
      <c r="S72" s="141">
        <f>Założenia!R314*Założenia!R$341*Założenia!$G65/1000000+Założenia!R326*Założenia!R$345*Założenia!$G73/1000000</f>
        <v>0</v>
      </c>
      <c r="T72" s="141">
        <f>Założenia!S314*Założenia!S$341*Założenia!$G65/1000000+Założenia!S326*Założenia!S$345*Założenia!$G73/1000000</f>
        <v>0</v>
      </c>
      <c r="U72" s="11"/>
    </row>
    <row r="73" spans="1:21" s="28" customFormat="1" ht="12">
      <c r="A73" s="82"/>
      <c r="B73" s="96" t="s">
        <v>364</v>
      </c>
      <c r="C73" s="175" t="s">
        <v>217</v>
      </c>
      <c r="D73" s="175"/>
      <c r="E73" s="141">
        <f>Założenia!D315*Założenia!D$341*Założenia!$G66/1000000+Założenia!D327*Założenia!D$345*Założenia!$G74/1000000</f>
        <v>0</v>
      </c>
      <c r="F73" s="141">
        <f>Założenia!E315*Założenia!E$341*Założenia!$G66/1000000+Założenia!E327*Założenia!E$345*Założenia!$G74/1000000</f>
        <v>0</v>
      </c>
      <c r="G73" s="141">
        <f>Założenia!F315*Założenia!F$341*Założenia!$G66/1000000+Założenia!F327*Założenia!F$345*Założenia!$G74/1000000</f>
        <v>0</v>
      </c>
      <c r="H73" s="141">
        <f>Założenia!G315*Założenia!G$341*Założenia!$G66/1000000+Założenia!G327*Założenia!G$345*Założenia!$G74/1000000</f>
        <v>0</v>
      </c>
      <c r="I73" s="141">
        <f>Założenia!H315*Założenia!H$341*Założenia!$G66/1000000+Założenia!H327*Założenia!H$345*Założenia!$G74/1000000</f>
        <v>0</v>
      </c>
      <c r="J73" s="141">
        <f>Założenia!I315*Założenia!I$341*Założenia!$G66/1000000+Założenia!I327*Założenia!I$345*Założenia!$G74/1000000</f>
        <v>0</v>
      </c>
      <c r="K73" s="141">
        <f>Założenia!J315*Założenia!J$341*Założenia!$G66/1000000+Założenia!J327*Założenia!J$345*Założenia!$G74/1000000</f>
        <v>0</v>
      </c>
      <c r="L73" s="141">
        <f>Założenia!K315*Założenia!K$341*Założenia!$G66/1000000+Założenia!K327*Założenia!K$345*Założenia!$G74/1000000</f>
        <v>0</v>
      </c>
      <c r="M73" s="141">
        <f>Założenia!L315*Założenia!L$341*Założenia!$G66/1000000+Założenia!L327*Założenia!L$345*Założenia!$G74/1000000</f>
        <v>0</v>
      </c>
      <c r="N73" s="141">
        <f>Założenia!M315*Założenia!M$341*Założenia!$G66/1000000+Założenia!M327*Założenia!M$345*Założenia!$G74/1000000</f>
        <v>0</v>
      </c>
      <c r="O73" s="141">
        <f>Założenia!N315*Założenia!N$341*Założenia!$G66/1000000+Założenia!N327*Założenia!N$345*Założenia!$G74/1000000</f>
        <v>0</v>
      </c>
      <c r="P73" s="141">
        <f>Założenia!O315*Założenia!O$341*Założenia!$G66/1000000+Założenia!O327*Założenia!O$345*Założenia!$G74/1000000</f>
        <v>0</v>
      </c>
      <c r="Q73" s="141">
        <f>Założenia!P315*Założenia!P$341*Założenia!$G66/1000000+Założenia!P327*Założenia!P$345*Założenia!$G74/1000000</f>
        <v>0</v>
      </c>
      <c r="R73" s="141">
        <f>Założenia!Q315*Założenia!Q$341*Założenia!$G66/1000000+Założenia!Q327*Założenia!Q$345*Założenia!$G74/1000000</f>
        <v>0</v>
      </c>
      <c r="S73" s="141">
        <f>Założenia!R315*Założenia!R$341*Założenia!$G66/1000000+Założenia!R327*Założenia!R$345*Założenia!$G74/1000000</f>
        <v>0</v>
      </c>
      <c r="T73" s="141">
        <f>Założenia!S315*Założenia!S$341*Założenia!$G66/1000000+Założenia!S327*Założenia!S$345*Założenia!$G74/1000000</f>
        <v>0</v>
      </c>
      <c r="U73" s="11"/>
    </row>
    <row r="74" spans="1:21" s="28" customFormat="1" ht="12">
      <c r="A74" s="82"/>
      <c r="B74" s="96" t="s">
        <v>365</v>
      </c>
      <c r="C74" s="175" t="s">
        <v>217</v>
      </c>
      <c r="D74" s="175"/>
      <c r="E74" s="141">
        <f>Założenia!D316*Założenia!D$341*Założenia!$G67/1000000+Założenia!D318*Założenia!D$341*Założenia!$J67/1000000+Założenia!D328*Założenia!D$345*Założenia!$G75/1000000</f>
        <v>3.9403437647058826E-3</v>
      </c>
      <c r="F74" s="141">
        <f>Założenia!E316*Założenia!E$341*Założenia!$G67/1000000+Założenia!E318*Założenia!E$341*Założenia!$J67/1000000+Założenia!E328*Założenia!E$345*Założenia!$G75/1000000</f>
        <v>3.8879342647058822E-3</v>
      </c>
      <c r="G74" s="141">
        <f>Założenia!F316*Założenia!F$341*Założenia!$G67/1000000+Założenia!F318*Założenia!F$341*Założenia!$J67/1000000+Założenia!F328*Założenia!F$345*Założenia!$G75/1000000</f>
        <v>3.8879342647058822E-3</v>
      </c>
      <c r="H74" s="141">
        <f>Założenia!G316*Założenia!G$341*Założenia!$G67/1000000+Założenia!G318*Założenia!G$341*Założenia!$J67/1000000+Założenia!G328*Założenia!G$345*Założenia!$G75/1000000</f>
        <v>3.7289615513750964E-3</v>
      </c>
      <c r="I74" s="141">
        <f>Założenia!H316*Założenia!H$341*Założenia!$G67/1000000+Założenia!H318*Założenia!H$341*Założenia!$J67/1000000+Założenia!H328*Założenia!H$345*Założenia!$G75/1000000</f>
        <v>3.7289615513750964E-3</v>
      </c>
      <c r="J74" s="141">
        <f>Założenia!I316*Założenia!I$341*Założenia!$G67/1000000+Założenia!I318*Założenia!I$341*Założenia!$J67/1000000+Założenia!I328*Założenia!I$345*Założenia!$G75/1000000</f>
        <v>3.7289615513750964E-3</v>
      </c>
      <c r="K74" s="141">
        <f>Założenia!J316*Założenia!J$341*Założenia!$G67/1000000+Założenia!J318*Założenia!J$341*Założenia!$J67/1000000+Założenia!J328*Założenia!J$345*Założenia!$G75/1000000</f>
        <v>0</v>
      </c>
      <c r="L74" s="141">
        <f>Założenia!K316*Założenia!K$341*Założenia!$G67/1000000+Założenia!K318*Założenia!K$341*Założenia!$J67/1000000+Założenia!K328*Założenia!K$345*Założenia!$G75/1000000</f>
        <v>0</v>
      </c>
      <c r="M74" s="141">
        <f>Założenia!L316*Założenia!L$341*Założenia!$G67/1000000+Założenia!L318*Założenia!L$341*Założenia!$J67/1000000+Założenia!L328*Założenia!L$345*Założenia!$G75/1000000</f>
        <v>0</v>
      </c>
      <c r="N74" s="141">
        <f>Założenia!M316*Założenia!M$341*Założenia!$G67/1000000+Założenia!M318*Założenia!M$341*Założenia!$J67/1000000+Założenia!M328*Założenia!M$345*Założenia!$G75/1000000</f>
        <v>0</v>
      </c>
      <c r="O74" s="141">
        <f>Założenia!N316*Założenia!N$341*Założenia!$G67/1000000+Założenia!N318*Założenia!N$341*Założenia!$J67/1000000+Założenia!N328*Założenia!N$345*Założenia!$G75/1000000</f>
        <v>0</v>
      </c>
      <c r="P74" s="141">
        <f>Założenia!O316*Założenia!O$341*Założenia!$G67/1000000+Założenia!O318*Założenia!O$341*Założenia!$J67/1000000+Założenia!O328*Założenia!O$345*Założenia!$G75/1000000</f>
        <v>0</v>
      </c>
      <c r="Q74" s="141">
        <f>Założenia!P316*Założenia!P$341*Założenia!$G67/1000000+Założenia!P318*Założenia!P$341*Założenia!$J67/1000000+Założenia!P328*Założenia!P$345*Założenia!$G75/1000000</f>
        <v>0</v>
      </c>
      <c r="R74" s="141">
        <f>Założenia!Q316*Założenia!Q$341*Założenia!$G67/1000000+Założenia!Q318*Założenia!Q$341*Założenia!$J67/1000000+Założenia!Q328*Założenia!Q$345*Założenia!$G75/1000000</f>
        <v>0</v>
      </c>
      <c r="S74" s="141">
        <f>Założenia!R316*Założenia!R$341*Założenia!$G67/1000000+Założenia!R318*Założenia!R$341*Założenia!$J67/1000000+Założenia!R328*Założenia!R$345*Założenia!$G75/1000000</f>
        <v>0</v>
      </c>
      <c r="T74" s="141">
        <f>Założenia!S316*Założenia!S$341*Założenia!$G67/1000000+Założenia!S318*Założenia!S$341*Założenia!$J67/1000000+Założenia!S328*Założenia!S$345*Założenia!$G75/1000000</f>
        <v>0</v>
      </c>
      <c r="U74" s="11"/>
    </row>
    <row r="75" spans="1:21" s="28" customFormat="1" ht="12">
      <c r="A75" s="82"/>
      <c r="B75" s="96" t="s">
        <v>367</v>
      </c>
      <c r="C75" s="175" t="s">
        <v>217</v>
      </c>
      <c r="D75" s="175"/>
      <c r="E75" s="141">
        <f>+Założenia!D317*Założenia!D$341*Założenia!$G68/1000000+Założenia!D319*Założenia!D$341*Założenia!$J68/1000000+Założenia!D329*Założenia!D$345*Założenia!$G76/1000000+Założenia!D330*Założenia!D$345*Założenia!$J76/1000000</f>
        <v>2.0037978088235295E-2</v>
      </c>
      <c r="F75" s="141">
        <f>+Założenia!E317*Założenia!E$341*Założenia!$G68/1000000+Założenia!E319*Założenia!E$341*Założenia!$J68/1000000+Założenia!E329*Założenia!E$345*Założenia!$G76/1000000+Założenia!E330*Założenia!E$345*Założenia!$J76/1000000</f>
        <v>1.9845373175735294E-2</v>
      </c>
      <c r="G75" s="141">
        <f>+Założenia!F317*Założenia!F$341*Założenia!$G68/1000000+Założenia!F319*Założenia!F$341*Założenia!$J68/1000000+Założenia!F329*Założenia!F$345*Założenia!$G76/1000000+Założenia!F330*Założenia!F$345*Założenia!$J76/1000000</f>
        <v>1.9845373175735294E-2</v>
      </c>
      <c r="H75" s="141">
        <f>+Założenia!G317*Założenia!G$341*Założenia!$G68/1000000+Założenia!G319*Założenia!G$341*Założenia!$J68/1000000+Założenia!G329*Założenia!G$345*Założenia!$G76/1000000+Założenia!G330*Założenia!G$345*Założenia!$J76/1000000</f>
        <v>1.44255260115785E-2</v>
      </c>
      <c r="I75" s="141">
        <f>+Założenia!H317*Założenia!H$341*Założenia!$G68/1000000+Założenia!H319*Założenia!H$341*Założenia!$J68/1000000+Założenia!H329*Założenia!H$345*Założenia!$G76/1000000+Założenia!H330*Założenia!H$345*Założenia!$J76/1000000</f>
        <v>1.44255260115785E-2</v>
      </c>
      <c r="J75" s="141">
        <f>+Założenia!I317*Założenia!I$341*Założenia!$G68/1000000+Założenia!I319*Założenia!I$341*Założenia!$J68/1000000+Założenia!I329*Założenia!I$345*Założenia!$G76/1000000+Założenia!I330*Założenia!I$345*Założenia!$J76/1000000</f>
        <v>1.44255260115785E-2</v>
      </c>
      <c r="K75" s="141">
        <f>+Założenia!J317*Założenia!J$341*Założenia!$G68/1000000+Założenia!J319*Założenia!J$341*Założenia!$J68/1000000+Założenia!J329*Założenia!J$345*Założenia!$G76/1000000+Założenia!J330*Założenia!J$345*Założenia!$J76/1000000</f>
        <v>1.6097155275585241E-2</v>
      </c>
      <c r="L75" s="141">
        <f>+Założenia!K317*Założenia!K$341*Założenia!$G68/1000000+Założenia!K319*Założenia!K$341*Założenia!$J68/1000000+Założenia!K329*Założenia!K$345*Założenia!$G76/1000000+Założenia!K330*Założenia!K$345*Założenia!$J76/1000000</f>
        <v>1.6097155275585241E-2</v>
      </c>
      <c r="M75" s="141">
        <f>+Założenia!L317*Założenia!L$341*Założenia!$G68/1000000+Założenia!L319*Założenia!L$341*Założenia!$J68/1000000+Założenia!L329*Założenia!L$345*Założenia!$G76/1000000+Założenia!L330*Założenia!L$345*Założenia!$J76/1000000</f>
        <v>1.6097155275585241E-2</v>
      </c>
      <c r="N75" s="141">
        <f>+Założenia!M317*Założenia!M$341*Założenia!$G68/1000000+Założenia!M319*Założenia!M$341*Założenia!$J68/1000000+Założenia!M329*Założenia!M$345*Założenia!$G76/1000000+Założenia!M330*Założenia!M$345*Założenia!$J76/1000000</f>
        <v>1.6097155275585241E-2</v>
      </c>
      <c r="O75" s="141">
        <f>+Założenia!N317*Założenia!N$341*Założenia!$G68/1000000+Założenia!N319*Założenia!N$341*Założenia!$J68/1000000+Założenia!N329*Założenia!N$345*Założenia!$G76/1000000+Założenia!N330*Założenia!N$345*Założenia!$J76/1000000</f>
        <v>1.6097155275585241E-2</v>
      </c>
      <c r="P75" s="141">
        <f>+Założenia!O317*Założenia!O$341*Założenia!$G68/1000000+Założenia!O319*Założenia!O$341*Założenia!$J68/1000000+Założenia!O329*Założenia!O$345*Założenia!$G76/1000000+Założenia!O330*Założenia!O$345*Założenia!$J76/1000000</f>
        <v>1.6097155275585241E-2</v>
      </c>
      <c r="Q75" s="141">
        <f>+Założenia!P317*Założenia!P$341*Założenia!$G68/1000000+Założenia!P319*Założenia!P$341*Założenia!$J68/1000000+Założenia!P329*Założenia!P$345*Założenia!$G76/1000000+Założenia!P330*Założenia!P$345*Założenia!$J76/1000000</f>
        <v>1.6097155275585241E-2</v>
      </c>
      <c r="R75" s="141">
        <f>+Założenia!Q317*Założenia!Q$341*Założenia!$G68/1000000+Założenia!Q319*Założenia!Q$341*Założenia!$J68/1000000+Założenia!Q329*Założenia!Q$345*Założenia!$G76/1000000+Założenia!Q330*Założenia!Q$345*Założenia!$J76/1000000</f>
        <v>1.6097155275585241E-2</v>
      </c>
      <c r="S75" s="141">
        <f>+Założenia!R317*Założenia!R$341*Założenia!$G68/1000000+Założenia!R319*Założenia!R$341*Założenia!$J68/1000000+Założenia!R329*Założenia!R$345*Założenia!$G76/1000000+Założenia!R330*Założenia!R$345*Założenia!$J76/1000000</f>
        <v>1.6097155275585241E-2</v>
      </c>
      <c r="T75" s="141">
        <f>+Założenia!S317*Założenia!S$341*Założenia!$G68/1000000+Założenia!S319*Założenia!S$341*Założenia!$J68/1000000+Założenia!S329*Założenia!S$345*Założenia!$G76/1000000+Założenia!S330*Założenia!S$345*Założenia!$J76/1000000</f>
        <v>1.6097155275585241E-2</v>
      </c>
      <c r="U75" s="11"/>
    </row>
    <row r="76" spans="1:21" s="1" customFormat="1" ht="12">
      <c r="A76" s="82"/>
      <c r="B76" s="94" t="s">
        <v>230</v>
      </c>
      <c r="C76" s="175" t="s">
        <v>0</v>
      </c>
      <c r="D76" s="252"/>
      <c r="E76" s="141">
        <f>Założenia!D321*Założenia!D$343*Założenia!$E$166*Założenia!$E$107*Założenia!E84/1000000+Założenia!D331*Założenia!D$346*Założenia!$E$167*Założenia!$E$107*Założenia!E84/1000000</f>
        <v>2.1539092273796787E-3</v>
      </c>
      <c r="F76" s="141">
        <f>Założenia!E321*Założenia!E$343*Założenia!$E$166*Założenia!$E$107*Założenia!F84/1000000+Założenia!E331*Założenia!E$346*Założenia!$E$167*Założenia!$E$107*Założenia!F84/1000000</f>
        <v>2.0337679979299775E-3</v>
      </c>
      <c r="G76" s="141">
        <f>Założenia!F321*Założenia!F$343*Założenia!$E$166*Założenia!$E$107*Założenia!G84/1000000+Założenia!F331*Założenia!F$346*Założenia!$E$167*Założenia!$E$107*Założenia!G84/1000000</f>
        <v>1.9136267684802758E-3</v>
      </c>
      <c r="H76" s="141">
        <f>Założenia!G321*Założenia!G$343*Założenia!$E$166*Założenia!$E$107*Założenia!H84/1000000+Założenia!G331*Założenia!G$346*Założenia!$E$167*Założenia!$E$107*Założenia!H84/1000000</f>
        <v>7.8838421725229441E-3</v>
      </c>
      <c r="I76" s="141">
        <f>Założenia!H321*Założenia!H$343*Założenia!$E$166*Założenia!$E$107*Założenia!I84/1000000+Założenia!H331*Założenia!H$346*Założenia!$E$167*Założenia!$E$107*Założenia!I84/1000000</f>
        <v>7.7662012062903506E-3</v>
      </c>
      <c r="J76" s="141">
        <f>Założenia!I321*Założenia!I$343*Założenia!$E$166*Założenia!$E$107*Założenia!J84/1000000+Założenia!I331*Założenia!I$346*Założenia!$E$167*Założenia!$E$107*Założenia!J84/1000000</f>
        <v>7.6485602400577571E-3</v>
      </c>
      <c r="K76" s="141">
        <f>Założenia!J321*Założenia!J$343*Założenia!$E$166*Założenia!$E$107*Założenia!K84/1000000+Założenia!J331*Założenia!J$346*Założenia!$E$167*Założenia!$E$107*Założenia!K84/1000000</f>
        <v>7.5309192738251644E-3</v>
      </c>
      <c r="L76" s="141">
        <f>Założenia!K321*Założenia!K$343*Założenia!$E$166*Założenia!$E$107*Założenia!L84/1000000+Założenia!K331*Założenia!K$346*Założenia!$E$167*Założenia!$E$107*Założenia!L84/1000000</f>
        <v>7.4132783075925709E-3</v>
      </c>
      <c r="M76" s="141">
        <f>Założenia!L321*Założenia!L$343*Założenia!$E$166*Założenia!$E$107*Założenia!M84/1000000+Założenia!L331*Założenia!L$346*Założenia!$E$167*Założenia!$E$107*Założenia!M84/1000000</f>
        <v>7.29563734135998E-3</v>
      </c>
      <c r="N76" s="141">
        <f>Założenia!M321*Założenia!M$343*Założenia!$E$166*Założenia!$E$107*Założenia!N84/1000000+Założenia!M331*Założenia!M$346*Założenia!$E$167*Założenia!$E$107*Założenia!N84/1000000</f>
        <v>6.9332272679660254E-3</v>
      </c>
      <c r="O76" s="141">
        <f>Założenia!N321*Założenia!N$343*Założenia!$E$166*Założenia!$E$107*Założenia!O84/1000000+Założenia!N331*Założenia!N$346*Założenia!$E$167*Założenia!$E$107*Założenia!O84/1000000</f>
        <v>6.5708171945720708E-3</v>
      </c>
      <c r="P76" s="141">
        <f>Założenia!O321*Założenia!O$343*Założenia!$E$166*Założenia!$E$107*Założenia!P84/1000000+Założenia!O331*Założenia!O$346*Założenia!$E$167*Założenia!$E$107*Założenia!P84/1000000</f>
        <v>6.2084071211781153E-3</v>
      </c>
      <c r="Q76" s="141">
        <f>Założenia!P321*Założenia!P$343*Założenia!$E$166*Założenia!$E$107*Założenia!Q84/1000000+Założenia!P331*Założenia!P$346*Założenia!$E$167*Założenia!$E$107*Założenia!Q84/1000000</f>
        <v>5.8459970477841607E-3</v>
      </c>
      <c r="R76" s="141">
        <f>Założenia!Q321*Założenia!Q$343*Założenia!$E$166*Założenia!$E$107*Założenia!R84/1000000+Założenia!Q331*Założenia!Q$346*Założenia!$E$167*Założenia!$E$107*Założenia!R84/1000000</f>
        <v>5.483586974390206E-3</v>
      </c>
      <c r="S76" s="141">
        <f>Założenia!R321*Założenia!R$343*Założenia!$E$166*Założenia!$E$107*Założenia!S84/1000000+Założenia!R331*Założenia!R$346*Założenia!$E$167*Założenia!$E$107*Założenia!S84/1000000</f>
        <v>5.0519205257141594E-3</v>
      </c>
      <c r="T76" s="141">
        <f>Założenia!S321*Założenia!S$343*Założenia!$E$166*Założenia!$E$107*Założenia!T84/1000000+Założenia!S331*Założenia!S$346*Założenia!$E$167*Założenia!$E$107*Założenia!T84/1000000</f>
        <v>4.8360873013761378E-3</v>
      </c>
    </row>
    <row r="77" spans="1:21" s="23" customFormat="1">
      <c r="A77" s="82" t="s">
        <v>60</v>
      </c>
      <c r="B77" s="96" t="s">
        <v>180</v>
      </c>
      <c r="C77" s="175" t="s">
        <v>247</v>
      </c>
      <c r="D77" s="175"/>
      <c r="E77" s="157">
        <f>E78+E85</f>
        <v>0.35148493172545453</v>
      </c>
      <c r="F77" s="157">
        <f t="shared" ref="F77:T77" si="17">F78+F85</f>
        <v>0.34777179461504837</v>
      </c>
      <c r="G77" s="157">
        <f t="shared" si="17"/>
        <v>0.34776793986714216</v>
      </c>
      <c r="H77" s="157">
        <f t="shared" si="17"/>
        <v>0.27484416532337741</v>
      </c>
      <c r="I77" s="157">
        <f t="shared" si="17"/>
        <v>0.27482044262652566</v>
      </c>
      <c r="J77" s="157">
        <f t="shared" si="17"/>
        <v>0.27479671992967392</v>
      </c>
      <c r="K77" s="157">
        <f t="shared" si="17"/>
        <v>0.21073806198328257</v>
      </c>
      <c r="L77" s="157">
        <f t="shared" si="17"/>
        <v>0.21071433928643082</v>
      </c>
      <c r="M77" s="157">
        <f t="shared" si="17"/>
        <v>0.21069061658957908</v>
      </c>
      <c r="N77" s="157">
        <f t="shared" si="17"/>
        <v>0.21062029573819713</v>
      </c>
      <c r="O77" s="157">
        <f t="shared" si="17"/>
        <v>0.21054997488681518</v>
      </c>
      <c r="P77" s="157">
        <f t="shared" si="17"/>
        <v>0.21047965403543323</v>
      </c>
      <c r="Q77" s="157">
        <f t="shared" si="17"/>
        <v>0.21040933318405128</v>
      </c>
      <c r="R77" s="157">
        <f t="shared" si="17"/>
        <v>0.2103390123326693</v>
      </c>
      <c r="S77" s="157">
        <f t="shared" si="17"/>
        <v>0.21025217031740848</v>
      </c>
      <c r="T77" s="157">
        <f t="shared" si="17"/>
        <v>0.21020874930977804</v>
      </c>
      <c r="U77" s="11"/>
    </row>
    <row r="78" spans="1:21" s="23" customFormat="1">
      <c r="A78" s="82"/>
      <c r="B78" s="133" t="s">
        <v>314</v>
      </c>
      <c r="C78" s="175" t="s">
        <v>247</v>
      </c>
      <c r="D78" s="175"/>
      <c r="E78" s="157">
        <f>SUM(E79:E84)</f>
        <v>0.3511216217352941</v>
      </c>
      <c r="F78" s="157">
        <f t="shared" ref="F78:T78" si="18">SUM(F79:F84)</f>
        <v>0.34741233937279414</v>
      </c>
      <c r="G78" s="157">
        <f t="shared" si="18"/>
        <v>0.34741233937279414</v>
      </c>
      <c r="H78" s="157">
        <f t="shared" si="18"/>
        <v>0.27329795383214772</v>
      </c>
      <c r="I78" s="157">
        <f t="shared" si="18"/>
        <v>0.27329795383214772</v>
      </c>
      <c r="J78" s="157">
        <f t="shared" si="18"/>
        <v>0.27329795383214772</v>
      </c>
      <c r="K78" s="157">
        <f t="shared" si="18"/>
        <v>0.2092630185826081</v>
      </c>
      <c r="L78" s="157">
        <f t="shared" si="18"/>
        <v>0.2092630185826081</v>
      </c>
      <c r="M78" s="157">
        <f t="shared" si="18"/>
        <v>0.2092630185826081</v>
      </c>
      <c r="N78" s="157">
        <f t="shared" si="18"/>
        <v>0.2092630185826081</v>
      </c>
      <c r="O78" s="157">
        <f t="shared" si="18"/>
        <v>0.2092630185826081</v>
      </c>
      <c r="P78" s="157">
        <f t="shared" si="18"/>
        <v>0.2092630185826081</v>
      </c>
      <c r="Q78" s="157">
        <f t="shared" si="18"/>
        <v>0.2092630185826081</v>
      </c>
      <c r="R78" s="157">
        <f t="shared" si="18"/>
        <v>0.2092630185826081</v>
      </c>
      <c r="S78" s="157">
        <f t="shared" si="18"/>
        <v>0.2092630185826081</v>
      </c>
      <c r="T78" s="157">
        <f t="shared" si="18"/>
        <v>0.2092630185826081</v>
      </c>
      <c r="U78" s="11"/>
    </row>
    <row r="79" spans="1:21" s="23" customFormat="1">
      <c r="A79" s="82"/>
      <c r="B79" s="96" t="s">
        <v>361</v>
      </c>
      <c r="C79" s="175" t="s">
        <v>247</v>
      </c>
      <c r="D79" s="175"/>
      <c r="E79" s="141">
        <f>Założenia!D312*Założenia!D$341*Założenia!$E63/1000000+Założenia!D324*Założenia!D$345*Założenia!$E71/1000000</f>
        <v>0</v>
      </c>
      <c r="F79" s="141">
        <f>Założenia!E312*Założenia!E$341*Założenia!$E63/1000000+Założenia!E324*Założenia!E$345*Założenia!$E71/1000000</f>
        <v>0</v>
      </c>
      <c r="G79" s="141">
        <f>Założenia!F312*Założenia!F$341*Założenia!$E63/1000000+Założenia!F324*Założenia!F$345*Założenia!$E71/1000000</f>
        <v>0</v>
      </c>
      <c r="H79" s="141">
        <f>Założenia!G312*Założenia!G$341*Założenia!$E63/1000000+Założenia!G324*Założenia!G$345*Założenia!$E71/1000000</f>
        <v>0</v>
      </c>
      <c r="I79" s="141">
        <f>Założenia!H312*Założenia!H$341*Założenia!$E63/1000000+Założenia!H324*Założenia!H$345*Założenia!$E71/1000000</f>
        <v>0</v>
      </c>
      <c r="J79" s="141">
        <f>Założenia!I312*Założenia!I$341*Założenia!$E63/1000000+Założenia!I324*Założenia!I$345*Założenia!$E71/1000000</f>
        <v>0</v>
      </c>
      <c r="K79" s="141">
        <f>Założenia!J312*Założenia!J$341*Założenia!$E63/1000000+Założenia!J324*Założenia!J$345*Założenia!$E71/1000000</f>
        <v>0</v>
      </c>
      <c r="L79" s="141">
        <f>Założenia!K312*Założenia!K$341*Założenia!$E63/1000000+Założenia!K324*Założenia!K$345*Założenia!$E71/1000000</f>
        <v>0</v>
      </c>
      <c r="M79" s="141">
        <f>Założenia!L312*Założenia!L$341*Założenia!$E63/1000000+Założenia!L324*Założenia!L$345*Założenia!$E71/1000000</f>
        <v>0</v>
      </c>
      <c r="N79" s="141">
        <f>Założenia!M312*Założenia!M$341*Założenia!$E63/1000000+Założenia!M324*Założenia!M$345*Założenia!$E71/1000000</f>
        <v>0</v>
      </c>
      <c r="O79" s="141">
        <f>Założenia!N312*Założenia!N$341*Założenia!$E63/1000000+Założenia!N324*Założenia!N$345*Założenia!$E71/1000000</f>
        <v>0</v>
      </c>
      <c r="P79" s="141">
        <f>Założenia!O312*Założenia!O$341*Założenia!$E63/1000000+Założenia!O324*Założenia!O$345*Założenia!$E71/1000000</f>
        <v>0</v>
      </c>
      <c r="Q79" s="141">
        <f>Założenia!P312*Założenia!P$341*Założenia!$E63/1000000+Założenia!P324*Założenia!P$345*Założenia!$E71/1000000</f>
        <v>0</v>
      </c>
      <c r="R79" s="141">
        <f>Założenia!Q312*Założenia!Q$341*Założenia!$E63/1000000+Założenia!Q324*Założenia!Q$345*Założenia!$E71/1000000</f>
        <v>0</v>
      </c>
      <c r="S79" s="141">
        <f>Założenia!R312*Założenia!R$341*Założenia!$E63/1000000+Założenia!R324*Założenia!R$345*Założenia!$E71/1000000</f>
        <v>0</v>
      </c>
      <c r="T79" s="141">
        <f>Założenia!S312*Założenia!S$341*Założenia!$E63/1000000+Założenia!S324*Założenia!S$345*Założenia!$E71/1000000</f>
        <v>0</v>
      </c>
      <c r="U79" s="11"/>
    </row>
    <row r="80" spans="1:21" s="28" customFormat="1" ht="12">
      <c r="A80" s="82"/>
      <c r="B80" s="96" t="s">
        <v>362</v>
      </c>
      <c r="C80" s="175" t="s">
        <v>247</v>
      </c>
      <c r="D80" s="175"/>
      <c r="E80" s="141">
        <f>Założenia!D313*Założenia!D$341*Założenia!$E64/1000000+Założenia!D325*Założenia!D$345*Założenia!$E72/1000000</f>
        <v>0</v>
      </c>
      <c r="F80" s="141">
        <f>Założenia!E313*Założenia!E$341*Założenia!$E64/1000000+Założenia!E325*Założenia!E$345*Założenia!$E72/1000000</f>
        <v>0</v>
      </c>
      <c r="G80" s="141">
        <f>Założenia!F313*Założenia!F$341*Założenia!$E64/1000000+Założenia!F325*Założenia!F$345*Założenia!$E72/1000000</f>
        <v>0</v>
      </c>
      <c r="H80" s="141">
        <f>Założenia!G313*Założenia!G$341*Założenia!$E64/1000000+Założenia!G325*Założenia!G$345*Założenia!$E72/1000000</f>
        <v>0</v>
      </c>
      <c r="I80" s="141">
        <f>Założenia!H313*Założenia!H$341*Założenia!$E64/1000000+Założenia!H325*Założenia!H$345*Założenia!$E72/1000000</f>
        <v>0</v>
      </c>
      <c r="J80" s="141">
        <f>Założenia!I313*Założenia!I$341*Założenia!$E64/1000000+Założenia!I325*Założenia!I$345*Założenia!$E72/1000000</f>
        <v>0</v>
      </c>
      <c r="K80" s="141">
        <f>Założenia!J313*Założenia!J$341*Założenia!$E64/1000000+Założenia!J325*Założenia!J$345*Założenia!$E72/1000000</f>
        <v>0</v>
      </c>
      <c r="L80" s="141">
        <f>Założenia!K313*Założenia!K$341*Założenia!$E64/1000000+Założenia!K325*Założenia!K$345*Założenia!$E72/1000000</f>
        <v>0</v>
      </c>
      <c r="M80" s="141">
        <f>Założenia!L313*Założenia!L$341*Założenia!$E64/1000000+Założenia!L325*Założenia!L$345*Założenia!$E72/1000000</f>
        <v>0</v>
      </c>
      <c r="N80" s="141">
        <f>Założenia!M313*Założenia!M$341*Założenia!$E64/1000000+Założenia!M325*Założenia!M$345*Założenia!$E72/1000000</f>
        <v>0</v>
      </c>
      <c r="O80" s="141">
        <f>Założenia!N313*Założenia!N$341*Założenia!$E64/1000000+Założenia!N325*Założenia!N$345*Założenia!$E72/1000000</f>
        <v>0</v>
      </c>
      <c r="P80" s="141">
        <f>Założenia!O313*Założenia!O$341*Założenia!$E64/1000000+Założenia!O325*Założenia!O$345*Założenia!$E72/1000000</f>
        <v>0</v>
      </c>
      <c r="Q80" s="141">
        <f>Założenia!P313*Założenia!P$341*Założenia!$E64/1000000+Założenia!P325*Założenia!P$345*Założenia!$E72/1000000</f>
        <v>0</v>
      </c>
      <c r="R80" s="141">
        <f>Założenia!Q313*Założenia!Q$341*Założenia!$E64/1000000+Założenia!Q325*Założenia!Q$345*Założenia!$E72/1000000</f>
        <v>0</v>
      </c>
      <c r="S80" s="141">
        <f>Założenia!R313*Założenia!R$341*Założenia!$E64/1000000+Założenia!R325*Założenia!R$345*Założenia!$E72/1000000</f>
        <v>0</v>
      </c>
      <c r="T80" s="141">
        <f>Założenia!S313*Założenia!S$341*Założenia!$E64/1000000+Założenia!S325*Założenia!S$345*Założenia!$E72/1000000</f>
        <v>0</v>
      </c>
      <c r="U80" s="11"/>
    </row>
    <row r="81" spans="1:21" s="28" customFormat="1" ht="12">
      <c r="A81" s="82"/>
      <c r="B81" s="96" t="s">
        <v>363</v>
      </c>
      <c r="C81" s="175" t="s">
        <v>247</v>
      </c>
      <c r="D81" s="175"/>
      <c r="E81" s="141">
        <f>Założenia!D314*Założenia!D$341*Założenia!$E65/1000000+Założenia!D326*Założenia!D$345*Założenia!$E73/1000000</f>
        <v>0</v>
      </c>
      <c r="F81" s="141">
        <f>Założenia!E314*Założenia!E$341*Założenia!$E65/1000000+Założenia!E326*Założenia!E$345*Założenia!$E73/1000000</f>
        <v>0</v>
      </c>
      <c r="G81" s="141">
        <f>Założenia!F314*Założenia!F$341*Założenia!$E65/1000000+Założenia!F326*Założenia!F$345*Założenia!$E73/1000000</f>
        <v>0</v>
      </c>
      <c r="H81" s="141">
        <f>Założenia!G314*Założenia!G$341*Założenia!$E65/1000000+Założenia!G326*Założenia!G$345*Założenia!$E73/1000000</f>
        <v>0</v>
      </c>
      <c r="I81" s="141">
        <f>Założenia!H314*Założenia!H$341*Założenia!$E65/1000000+Założenia!H326*Założenia!H$345*Założenia!$E73/1000000</f>
        <v>0</v>
      </c>
      <c r="J81" s="141">
        <f>Założenia!I314*Założenia!I$341*Założenia!$E65/1000000+Założenia!I326*Założenia!I$345*Założenia!$E73/1000000</f>
        <v>0</v>
      </c>
      <c r="K81" s="141">
        <f>Założenia!J314*Założenia!J$341*Założenia!$E65/1000000+Założenia!J326*Założenia!J$345*Założenia!$E73/1000000</f>
        <v>0</v>
      </c>
      <c r="L81" s="141">
        <f>Założenia!K314*Założenia!K$341*Założenia!$E65/1000000+Założenia!K326*Założenia!K$345*Założenia!$E73/1000000</f>
        <v>0</v>
      </c>
      <c r="M81" s="141">
        <f>Założenia!L314*Założenia!L$341*Założenia!$E65/1000000+Założenia!L326*Założenia!L$345*Założenia!$E73/1000000</f>
        <v>0</v>
      </c>
      <c r="N81" s="141">
        <f>Założenia!M314*Założenia!M$341*Założenia!$E65/1000000+Założenia!M326*Założenia!M$345*Założenia!$E73/1000000</f>
        <v>0</v>
      </c>
      <c r="O81" s="141">
        <f>Założenia!N314*Założenia!N$341*Założenia!$E65/1000000+Założenia!N326*Założenia!N$345*Założenia!$E73/1000000</f>
        <v>0</v>
      </c>
      <c r="P81" s="141">
        <f>Założenia!O314*Założenia!O$341*Założenia!$E65/1000000+Założenia!O326*Założenia!O$345*Założenia!$E73/1000000</f>
        <v>0</v>
      </c>
      <c r="Q81" s="141">
        <f>Założenia!P314*Założenia!P$341*Założenia!$E65/1000000+Założenia!P326*Założenia!P$345*Założenia!$E73/1000000</f>
        <v>0</v>
      </c>
      <c r="R81" s="141">
        <f>Założenia!Q314*Założenia!Q$341*Założenia!$E65/1000000+Założenia!Q326*Założenia!Q$345*Założenia!$E73/1000000</f>
        <v>0</v>
      </c>
      <c r="S81" s="141">
        <f>Założenia!R314*Założenia!R$341*Założenia!$E65/1000000+Założenia!R326*Założenia!R$345*Założenia!$E73/1000000</f>
        <v>0</v>
      </c>
      <c r="T81" s="141">
        <f>Założenia!S314*Założenia!S$341*Założenia!$E65/1000000+Założenia!S326*Założenia!S$345*Założenia!$E73/1000000</f>
        <v>0</v>
      </c>
      <c r="U81" s="11"/>
    </row>
    <row r="82" spans="1:21" s="28" customFormat="1" ht="12">
      <c r="A82" s="82"/>
      <c r="B82" s="96" t="s">
        <v>364</v>
      </c>
      <c r="C82" s="175" t="s">
        <v>247</v>
      </c>
      <c r="D82" s="175"/>
      <c r="E82" s="141">
        <f>Założenia!D315*Założenia!D$341*Założenia!$E66/1000000+Założenia!D327*Założenia!D$345*Założenia!$E74/1000000</f>
        <v>0</v>
      </c>
      <c r="F82" s="141">
        <f>Założenia!E315*Założenia!E$341*Założenia!$E66/1000000+Założenia!E327*Założenia!E$345*Założenia!$E74/1000000</f>
        <v>0</v>
      </c>
      <c r="G82" s="141">
        <f>Założenia!F315*Założenia!F$341*Założenia!$E66/1000000+Założenia!F327*Założenia!F$345*Założenia!$E74/1000000</f>
        <v>0</v>
      </c>
      <c r="H82" s="141">
        <f>Założenia!G315*Założenia!G$341*Założenia!$E66/1000000+Założenia!G327*Założenia!G$345*Założenia!$E74/1000000</f>
        <v>0</v>
      </c>
      <c r="I82" s="141">
        <f>Założenia!H315*Założenia!H$341*Założenia!$E66/1000000+Założenia!H327*Założenia!H$345*Założenia!$E74/1000000</f>
        <v>0</v>
      </c>
      <c r="J82" s="141">
        <f>Założenia!I315*Założenia!I$341*Założenia!$E66/1000000+Założenia!I327*Założenia!I$345*Założenia!$E74/1000000</f>
        <v>0</v>
      </c>
      <c r="K82" s="141">
        <f>Założenia!J315*Założenia!J$341*Założenia!$E66/1000000+Założenia!J327*Założenia!J$345*Założenia!$E74/1000000</f>
        <v>0</v>
      </c>
      <c r="L82" s="141">
        <f>Założenia!K315*Założenia!K$341*Założenia!$E66/1000000+Założenia!K327*Założenia!K$345*Założenia!$E74/1000000</f>
        <v>0</v>
      </c>
      <c r="M82" s="141">
        <f>Założenia!L315*Założenia!L$341*Założenia!$E66/1000000+Założenia!L327*Założenia!L$345*Założenia!$E74/1000000</f>
        <v>0</v>
      </c>
      <c r="N82" s="141">
        <f>Założenia!M315*Założenia!M$341*Założenia!$E66/1000000+Założenia!M327*Założenia!M$345*Założenia!$E74/1000000</f>
        <v>0</v>
      </c>
      <c r="O82" s="141">
        <f>Założenia!N315*Założenia!N$341*Założenia!$E66/1000000+Założenia!N327*Założenia!N$345*Założenia!$E74/1000000</f>
        <v>0</v>
      </c>
      <c r="P82" s="141">
        <f>Założenia!O315*Założenia!O$341*Założenia!$E66/1000000+Założenia!O327*Założenia!O$345*Założenia!$E74/1000000</f>
        <v>0</v>
      </c>
      <c r="Q82" s="141">
        <f>Założenia!P315*Założenia!P$341*Założenia!$E66/1000000+Założenia!P327*Założenia!P$345*Założenia!$E74/1000000</f>
        <v>0</v>
      </c>
      <c r="R82" s="141">
        <f>Założenia!Q315*Założenia!Q$341*Założenia!$E66/1000000+Założenia!Q327*Założenia!Q$345*Założenia!$E74/1000000</f>
        <v>0</v>
      </c>
      <c r="S82" s="141">
        <f>Założenia!R315*Założenia!R$341*Założenia!$E66/1000000+Założenia!R327*Założenia!R$345*Założenia!$E74/1000000</f>
        <v>0</v>
      </c>
      <c r="T82" s="141">
        <f>Założenia!S315*Założenia!S$341*Założenia!$E66/1000000+Założenia!S327*Założenia!S$345*Założenia!$E74/1000000</f>
        <v>0</v>
      </c>
      <c r="U82" s="11"/>
    </row>
    <row r="83" spans="1:21" s="28" customFormat="1" ht="12">
      <c r="A83" s="82"/>
      <c r="B83" s="96" t="s">
        <v>365</v>
      </c>
      <c r="C83" s="175" t="s">
        <v>247</v>
      </c>
      <c r="D83" s="175"/>
      <c r="E83" s="141">
        <f>Założenia!D316*Założenia!D$341*Założenia!$E67/1000000+Założenia!D318*Założenia!D$341*Założenia!$H67/1000000+Założenia!D328*Założenia!D$345*Założenia!$E75/1000000</f>
        <v>9.0627906588235288E-2</v>
      </c>
      <c r="F83" s="141">
        <f>Założenia!E316*Założenia!E$341*Założenia!$E67/1000000+Założenia!E318*Założenia!E$341*Założenia!$H67/1000000+Założenia!E328*Założenia!E$345*Założenia!$E75/1000000</f>
        <v>8.9422488088235288E-2</v>
      </c>
      <c r="G83" s="141">
        <f>Założenia!F316*Założenia!F$341*Założenia!$E67/1000000+Założenia!F318*Założenia!F$341*Założenia!$H67/1000000+Założenia!F328*Założenia!F$345*Założenia!$E75/1000000</f>
        <v>8.9422488088235288E-2</v>
      </c>
      <c r="H83" s="141">
        <f>Założenia!G316*Założenia!G$341*Założenia!$E67/1000000+Założenia!G318*Założenia!G$341*Założenia!$H67/1000000+Założenia!G328*Założenia!G$345*Założenia!$E75/1000000</f>
        <v>8.5766115681627217E-2</v>
      </c>
      <c r="I83" s="141">
        <f>Założenia!H316*Założenia!H$341*Założenia!$E67/1000000+Założenia!H318*Założenia!H$341*Założenia!$H67/1000000+Założenia!H328*Założenia!H$345*Założenia!$E75/1000000</f>
        <v>8.5766115681627217E-2</v>
      </c>
      <c r="J83" s="141">
        <f>Założenia!I316*Założenia!I$341*Założenia!$E67/1000000+Założenia!I318*Założenia!I$341*Założenia!$H67/1000000+Założenia!I328*Założenia!I$345*Założenia!$E75/1000000</f>
        <v>8.5766115681627217E-2</v>
      </c>
      <c r="K83" s="141">
        <f>Założenia!J316*Założenia!J$341*Założenia!$E67/1000000+Założenia!J318*Założenia!J$341*Założenia!$H67/1000000+Założenia!J328*Założenia!J$345*Założenia!$E75/1000000</f>
        <v>0</v>
      </c>
      <c r="L83" s="141">
        <f>Założenia!K316*Założenia!K$341*Założenia!$E67/1000000+Założenia!K318*Założenia!K$341*Założenia!$H67/1000000+Założenia!K328*Założenia!K$345*Założenia!$E75/1000000</f>
        <v>0</v>
      </c>
      <c r="M83" s="141">
        <f>Założenia!L316*Założenia!L$341*Założenia!$E67/1000000+Założenia!L318*Założenia!L$341*Założenia!$H67/1000000+Założenia!L328*Założenia!L$345*Założenia!$E75/1000000</f>
        <v>0</v>
      </c>
      <c r="N83" s="141">
        <f>Założenia!M316*Założenia!M$341*Założenia!$E67/1000000+Założenia!M318*Założenia!M$341*Założenia!$H67/1000000+Założenia!M328*Założenia!M$345*Założenia!$E75/1000000</f>
        <v>0</v>
      </c>
      <c r="O83" s="141">
        <f>Założenia!N316*Założenia!N$341*Założenia!$E67/1000000+Założenia!N318*Założenia!N$341*Założenia!$H67/1000000+Założenia!N328*Założenia!N$345*Założenia!$E75/1000000</f>
        <v>0</v>
      </c>
      <c r="P83" s="141">
        <f>Założenia!O316*Założenia!O$341*Założenia!$E67/1000000+Założenia!O318*Założenia!O$341*Założenia!$H67/1000000+Założenia!O328*Założenia!O$345*Założenia!$E75/1000000</f>
        <v>0</v>
      </c>
      <c r="Q83" s="141">
        <f>Założenia!P316*Założenia!P$341*Założenia!$E67/1000000+Założenia!P318*Założenia!P$341*Założenia!$H67/1000000+Założenia!P328*Założenia!P$345*Założenia!$E75/1000000</f>
        <v>0</v>
      </c>
      <c r="R83" s="141">
        <f>Założenia!Q316*Założenia!Q$341*Założenia!$E67/1000000+Założenia!Q318*Założenia!Q$341*Założenia!$H67/1000000+Założenia!Q328*Założenia!Q$345*Założenia!$E75/1000000</f>
        <v>0</v>
      </c>
      <c r="S83" s="141">
        <f>Założenia!R316*Założenia!R$341*Założenia!$E67/1000000+Założenia!R318*Założenia!R$341*Założenia!$H67/1000000+Założenia!R328*Założenia!R$345*Założenia!$E75/1000000</f>
        <v>0</v>
      </c>
      <c r="T83" s="141">
        <f>Założenia!S316*Założenia!S$341*Założenia!$E67/1000000+Założenia!S318*Założenia!S$341*Założenia!$H67/1000000+Założenia!S328*Założenia!S$345*Założenia!$E75/1000000</f>
        <v>0</v>
      </c>
      <c r="U83" s="11"/>
    </row>
    <row r="84" spans="1:21" s="28" customFormat="1" ht="12">
      <c r="A84" s="82"/>
      <c r="B84" s="96" t="s">
        <v>367</v>
      </c>
      <c r="C84" s="175" t="s">
        <v>247</v>
      </c>
      <c r="D84" s="175"/>
      <c r="E84" s="141">
        <f>+Założenia!D317*Założenia!D$341*Założenia!$E68/1000000+Założenia!D319*Założenia!D$341*Założenia!$H68/1000000+Założenia!D329*Założenia!D$345*Założenia!$E76/1000000+Założenia!D330*Założenia!D$345*Założenia!$H76/1000000</f>
        <v>0.26049371514705882</v>
      </c>
      <c r="F84" s="141">
        <f>+Założenia!E317*Założenia!E$341*Założenia!$E68/1000000+Założenia!E319*Założenia!E$341*Założenia!$H68/1000000+Założenia!E329*Założenia!E$345*Założenia!$E76/1000000+Założenia!E330*Założenia!E$345*Założenia!$H76/1000000</f>
        <v>0.25798985128455887</v>
      </c>
      <c r="G84" s="141">
        <f>+Założenia!F317*Założenia!F$341*Założenia!$E68/1000000+Założenia!F319*Założenia!F$341*Założenia!$H68/1000000+Założenia!F329*Założenia!F$345*Założenia!$E76/1000000+Założenia!F330*Założenia!F$345*Założenia!$H76/1000000</f>
        <v>0.25798985128455887</v>
      </c>
      <c r="H84" s="141">
        <f>+Założenia!G317*Założenia!G$341*Założenia!$E68/1000000+Założenia!G319*Założenia!G$341*Założenia!$H68/1000000+Założenia!G329*Założenia!G$345*Założenia!$E76/1000000+Założenia!G330*Założenia!G$345*Założenia!$H76/1000000</f>
        <v>0.18753183815052049</v>
      </c>
      <c r="I84" s="141">
        <f>+Założenia!H317*Założenia!H$341*Założenia!$E68/1000000+Założenia!H319*Założenia!H$341*Założenia!$H68/1000000+Założenia!H329*Założenia!H$345*Założenia!$E76/1000000+Założenia!H330*Założenia!H$345*Założenia!$H76/1000000</f>
        <v>0.18753183815052049</v>
      </c>
      <c r="J84" s="141">
        <f>+Założenia!I317*Założenia!I$341*Założenia!$E68/1000000+Założenia!I319*Założenia!I$341*Założenia!$H68/1000000+Założenia!I329*Założenia!I$345*Założenia!$E76/1000000+Założenia!I330*Założenia!I$345*Założenia!$H76/1000000</f>
        <v>0.18753183815052049</v>
      </c>
      <c r="K84" s="141">
        <f>+Założenia!J317*Założenia!J$341*Założenia!$E68/1000000+Założenia!J319*Założenia!J$341*Założenia!$H68/1000000+Założenia!J329*Założenia!J$345*Założenia!$E76/1000000+Założenia!J330*Założenia!J$345*Założenia!$H76/1000000</f>
        <v>0.2092630185826081</v>
      </c>
      <c r="L84" s="141">
        <f>+Założenia!K317*Założenia!K$341*Założenia!$E68/1000000+Założenia!K319*Założenia!K$341*Założenia!$H68/1000000+Założenia!K329*Założenia!K$345*Założenia!$E76/1000000+Założenia!K330*Założenia!K$345*Założenia!$H76/1000000</f>
        <v>0.2092630185826081</v>
      </c>
      <c r="M84" s="141">
        <f>+Założenia!L317*Założenia!L$341*Założenia!$E68/1000000+Założenia!L319*Założenia!L$341*Założenia!$H68/1000000+Założenia!L329*Założenia!L$345*Założenia!$E76/1000000+Założenia!L330*Założenia!L$345*Założenia!$H76/1000000</f>
        <v>0.2092630185826081</v>
      </c>
      <c r="N84" s="141">
        <f>+Założenia!M317*Założenia!M$341*Założenia!$E68/1000000+Założenia!M319*Założenia!M$341*Założenia!$H68/1000000+Założenia!M329*Założenia!M$345*Założenia!$E76/1000000+Założenia!M330*Założenia!M$345*Założenia!$H76/1000000</f>
        <v>0.2092630185826081</v>
      </c>
      <c r="O84" s="141">
        <f>+Założenia!N317*Założenia!N$341*Założenia!$E68/1000000+Założenia!N319*Założenia!N$341*Założenia!$H68/1000000+Założenia!N329*Założenia!N$345*Założenia!$E76/1000000+Założenia!N330*Założenia!N$345*Założenia!$H76/1000000</f>
        <v>0.2092630185826081</v>
      </c>
      <c r="P84" s="141">
        <f>+Założenia!O317*Założenia!O$341*Założenia!$E68/1000000+Założenia!O319*Założenia!O$341*Założenia!$H68/1000000+Założenia!O329*Założenia!O$345*Założenia!$E76/1000000+Założenia!O330*Założenia!O$345*Założenia!$H76/1000000</f>
        <v>0.2092630185826081</v>
      </c>
      <c r="Q84" s="141">
        <f>+Założenia!P317*Założenia!P$341*Założenia!$E68/1000000+Założenia!P319*Założenia!P$341*Założenia!$H68/1000000+Założenia!P329*Założenia!P$345*Założenia!$E76/1000000+Założenia!P330*Założenia!P$345*Założenia!$H76/1000000</f>
        <v>0.2092630185826081</v>
      </c>
      <c r="R84" s="141">
        <f>+Założenia!Q317*Założenia!Q$341*Założenia!$E68/1000000+Założenia!Q319*Założenia!Q$341*Założenia!$H68/1000000+Założenia!Q329*Założenia!Q$345*Założenia!$E76/1000000+Założenia!Q330*Założenia!Q$345*Założenia!$H76/1000000</f>
        <v>0.2092630185826081</v>
      </c>
      <c r="S84" s="141">
        <f>+Założenia!R317*Założenia!R$341*Założenia!$E68/1000000+Założenia!R319*Założenia!R$341*Założenia!$H68/1000000+Założenia!R329*Założenia!R$345*Założenia!$E76/1000000+Założenia!R330*Założenia!R$345*Założenia!$H76/1000000</f>
        <v>0.2092630185826081</v>
      </c>
      <c r="T84" s="141">
        <f>+Założenia!S317*Założenia!S$341*Założenia!$E68/1000000+Założenia!S319*Założenia!S$341*Założenia!$H68/1000000+Założenia!S329*Założenia!S$345*Założenia!$E76/1000000+Założenia!S330*Założenia!S$345*Założenia!$H76/1000000</f>
        <v>0.2092630185826081</v>
      </c>
      <c r="U84" s="11"/>
    </row>
    <row r="85" spans="1:21" s="1" customFormat="1" ht="12">
      <c r="A85" s="82"/>
      <c r="B85" s="94" t="s">
        <v>230</v>
      </c>
      <c r="C85" s="175" t="s">
        <v>247</v>
      </c>
      <c r="D85" s="252"/>
      <c r="E85" s="157">
        <f>Założenia!D321*Założenia!D$343*Założenia!$E$166*Założenia!$E$107*Założenia!E81/1000000+Założenia!D331*Założenia!D$346*Założenia!$E$167*Założenia!$E$107*Założenia!E81/1000000</f>
        <v>3.6330999016042769E-4</v>
      </c>
      <c r="F85" s="157">
        <f>Założenia!E321*Założenia!E$343*Założenia!$E$166*Założenia!$E$107*Założenia!F81/1000000+Założenia!E331*Założenia!E$346*Założenia!$E$167*Założenia!$E$107*Założenia!F81/1000000</f>
        <v>3.5945524225421626E-4</v>
      </c>
      <c r="G85" s="157">
        <f>Założenia!F321*Założenia!F$343*Założenia!$E$166*Założenia!$E$107*Założenia!G81/1000000+Założenia!F331*Założenia!F$346*Założenia!$E$167*Założenia!$E$107*Założenia!G81/1000000</f>
        <v>3.5560049434800483E-4</v>
      </c>
      <c r="H85" s="157">
        <f>Założenia!G321*Założenia!G$343*Założenia!$E$166*Założenia!$E$107*Założenia!H81/1000000+Założenia!G331*Założenia!G$346*Założenia!$E$167*Założenia!$E$107*Założenia!H81/1000000</f>
        <v>1.5462114912297036E-3</v>
      </c>
      <c r="I85" s="157">
        <f>Założenia!H321*Założenia!H$343*Założenia!$E$166*Założenia!$E$107*Założenia!I81/1000000+Założenia!H331*Założenia!H$346*Założenia!$E$167*Założenia!$E$107*Założenia!I81/1000000</f>
        <v>1.5224887943779601E-3</v>
      </c>
      <c r="J85" s="157">
        <f>Założenia!I321*Założenia!I$343*Założenia!$E$166*Założenia!$E$107*Założenia!J81/1000000+Założenia!I331*Założenia!I$346*Założenia!$E$167*Założenia!$E$107*Założenia!J81/1000000</f>
        <v>1.4987660975262166E-3</v>
      </c>
      <c r="K85" s="157">
        <f>Założenia!J321*Założenia!J$343*Założenia!$E$166*Założenia!$E$107*Założenia!K81/1000000+Założenia!J331*Założenia!J$346*Założenia!$E$167*Założenia!$E$107*Założenia!K81/1000000</f>
        <v>1.4750434006744731E-3</v>
      </c>
      <c r="L85" s="157">
        <f>Założenia!K321*Założenia!K$343*Założenia!$E$166*Założenia!$E$107*Założenia!L81/1000000+Założenia!K331*Założenia!K$346*Założenia!$E$167*Założenia!$E$107*Założenia!L81/1000000</f>
        <v>1.4513207038227298E-3</v>
      </c>
      <c r="M85" s="157">
        <f>Założenia!L321*Założenia!L$343*Założenia!$E$166*Założenia!$E$107*Założenia!M81/1000000+Założenia!L331*Założenia!L$346*Założenia!$E$167*Założenia!$E$107*Założenia!M81/1000000</f>
        <v>1.4275980069709865E-3</v>
      </c>
      <c r="N85" s="157">
        <f>Założenia!M321*Założenia!M$343*Założenia!$E$166*Założenia!$E$107*Założenia!N81/1000000+Założenia!M331*Założenia!M$346*Założenia!$E$167*Założenia!$E$107*Założenia!N81/1000000</f>
        <v>1.3572771555890328E-3</v>
      </c>
      <c r="O85" s="157">
        <f>Założenia!N321*Założenia!N$343*Założenia!$E$166*Założenia!$E$107*Założenia!O81/1000000+Założenia!N331*Założenia!N$346*Założenia!$E$167*Założenia!$E$107*Założenia!O81/1000000</f>
        <v>1.2869563042070789E-3</v>
      </c>
      <c r="P85" s="157">
        <f>Założenia!O321*Założenia!O$343*Założenia!$E$166*Założenia!$E$107*Założenia!P81/1000000+Założenia!O331*Założenia!O$346*Założenia!$E$167*Założenia!$E$107*Założenia!P81/1000000</f>
        <v>1.2166354528251255E-3</v>
      </c>
      <c r="Q85" s="157">
        <f>Założenia!P321*Założenia!P$343*Założenia!$E$166*Założenia!$E$107*Założenia!Q81/1000000+Założenia!P331*Założenia!P$346*Założenia!$E$167*Założenia!$E$107*Założenia!Q81/1000000</f>
        <v>1.1463146014431718E-3</v>
      </c>
      <c r="R85" s="157">
        <f>Założenia!Q321*Założenia!Q$343*Założenia!$E$166*Założenia!$E$107*Założenia!R81/1000000+Założenia!Q331*Założenia!Q$346*Założenia!$E$167*Założenia!$E$107*Założenia!R81/1000000</f>
        <v>1.0759937500612181E-3</v>
      </c>
      <c r="S85" s="157">
        <f>Założenia!R321*Założenia!R$343*Założenia!$E$166*Założenia!$E$107*Założenia!S81/1000000+Założenia!R331*Założenia!R$346*Założenia!$E$167*Założenia!$E$107*Założenia!S81/1000000</f>
        <v>9.8915173480037199E-4</v>
      </c>
      <c r="T85" s="157">
        <f>Założenia!S321*Założenia!S$343*Założenia!$E$166*Założenia!$E$107*Założenia!T81/1000000+Założenia!S331*Założenia!S$346*Założenia!$E$167*Założenia!$E$107*Założenia!T81/1000000</f>
        <v>9.4573072716994892E-4</v>
      </c>
    </row>
    <row r="86" spans="1:21" s="23" customFormat="1">
      <c r="A86" s="37" t="s">
        <v>29</v>
      </c>
      <c r="B86" s="133" t="s">
        <v>154</v>
      </c>
      <c r="C86" s="175" t="s">
        <v>0</v>
      </c>
      <c r="D86" s="253"/>
      <c r="E86" s="92">
        <f>E90+E94+E98</f>
        <v>560167.96014155017</v>
      </c>
      <c r="F86" s="92">
        <f t="shared" ref="F86:T86" si="19">F90+F94+F98</f>
        <v>559044.14519722271</v>
      </c>
      <c r="G86" s="92">
        <f t="shared" si="19"/>
        <v>572602.89128173818</v>
      </c>
      <c r="H86" s="92">
        <f t="shared" si="19"/>
        <v>461959.15617862163</v>
      </c>
      <c r="I86" s="92">
        <f t="shared" si="19"/>
        <v>474041.56157349708</v>
      </c>
      <c r="J86" s="92">
        <f t="shared" si="19"/>
        <v>486511.25367106911</v>
      </c>
      <c r="K86" s="92">
        <f t="shared" si="19"/>
        <v>495767.71454502514</v>
      </c>
      <c r="L86" s="92">
        <f t="shared" si="19"/>
        <v>508557.43481349642</v>
      </c>
      <c r="M86" s="92">
        <f t="shared" si="19"/>
        <v>521340.74712820648</v>
      </c>
      <c r="N86" s="92">
        <f t="shared" si="19"/>
        <v>534528.05947203026</v>
      </c>
      <c r="O86" s="92">
        <f t="shared" si="19"/>
        <v>547699.3882146785</v>
      </c>
      <c r="P86" s="92">
        <f t="shared" si="19"/>
        <v>561270.87523364672</v>
      </c>
      <c r="Q86" s="92">
        <f t="shared" si="19"/>
        <v>574798.29380251933</v>
      </c>
      <c r="R86" s="92">
        <f t="shared" si="19"/>
        <v>588253.04280352814</v>
      </c>
      <c r="S86" s="92">
        <f t="shared" si="19"/>
        <v>601614.16076252458</v>
      </c>
      <c r="T86" s="92">
        <f t="shared" si="19"/>
        <v>614852.95310557121</v>
      </c>
      <c r="U86" s="11"/>
    </row>
    <row r="87" spans="1:21" s="23" customFormat="1">
      <c r="A87" s="82" t="s">
        <v>50</v>
      </c>
      <c r="B87" s="133" t="s">
        <v>370</v>
      </c>
      <c r="C87" s="175"/>
      <c r="D87" s="175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1"/>
    </row>
    <row r="88" spans="1:21" s="23" customFormat="1">
      <c r="A88" s="82"/>
      <c r="B88" s="96" t="s">
        <v>155</v>
      </c>
      <c r="C88" s="175" t="s">
        <v>142</v>
      </c>
      <c r="D88" s="175"/>
      <c r="E88" s="140">
        <f>Założenia!E26</f>
        <v>0.60293707892576454</v>
      </c>
      <c r="F88" s="140">
        <f>Założenia!F26</f>
        <v>0.6082900597151405</v>
      </c>
      <c r="G88" s="140">
        <f>Założenia!G26</f>
        <v>0.62304318884862364</v>
      </c>
      <c r="H88" s="140">
        <f>Założenia!H26</f>
        <v>0.6402449056498758</v>
      </c>
      <c r="I88" s="140">
        <f>Założenia!I26</f>
        <v>0.65699032220586784</v>
      </c>
      <c r="J88" s="140">
        <f>Założenia!J26</f>
        <v>0.67427249257463973</v>
      </c>
      <c r="K88" s="140">
        <f>Założenia!K26</f>
        <v>0.6915689537590668</v>
      </c>
      <c r="L88" s="140">
        <f>Założenia!L26</f>
        <v>0.70940991678558207</v>
      </c>
      <c r="M88" s="140">
        <f>Założenia!M26</f>
        <v>0.72724194106568785</v>
      </c>
      <c r="N88" s="140">
        <f>Założenia!N26</f>
        <v>0.74563752337762157</v>
      </c>
      <c r="O88" s="140">
        <f>Założenia!O26</f>
        <v>0.76401080943665689</v>
      </c>
      <c r="P88" s="140">
        <f>Założenia!P26</f>
        <v>0.78294229449166097</v>
      </c>
      <c r="Q88" s="140">
        <f>Założenia!Q26</f>
        <v>0.80181230645950674</v>
      </c>
      <c r="R88" s="140">
        <f>Założenia!R26</f>
        <v>0.82058094833901629</v>
      </c>
      <c r="S88" s="140">
        <f>Założenia!S26</f>
        <v>0.83921898001567463</v>
      </c>
      <c r="T88" s="140">
        <f>Założenia!T26</f>
        <v>0.85768637412203863</v>
      </c>
      <c r="U88" s="11"/>
    </row>
    <row r="89" spans="1:21" s="23" customFormat="1">
      <c r="A89" s="82"/>
      <c r="B89" s="96" t="s">
        <v>76</v>
      </c>
      <c r="C89" s="175" t="s">
        <v>134</v>
      </c>
      <c r="D89" s="175"/>
      <c r="E89" s="91">
        <f>(Założenia!D312+Założenia!D313+Założenia!D314+Założenia!D315+Założenia!D316)*Założenia!D341+(Założenia!D324+Założenia!D325+Założenia!D326+Założenia!D327+Założenia!D328)*Założenia!D345</f>
        <v>98508.594117647051</v>
      </c>
      <c r="F89" s="91">
        <f>(Założenia!E312+Założenia!E313+Założenia!E314+Założenia!E315+Założenia!E316)*Założenia!E341+(Założenia!E324+Założenia!E325+Założenia!E326+Założenia!E327+Założenia!E328)*Założenia!E345</f>
        <v>97198.356617647049</v>
      </c>
      <c r="G89" s="91">
        <f>(Założenia!F312+Założenia!F313+Założenia!F314+Założenia!F315+Założenia!F316)*Założenia!F341+(Założenia!F324+Założenia!F325+Założenia!F326+Założenia!F327+Założenia!F328)*Założenia!F345</f>
        <v>97198.356617647049</v>
      </c>
      <c r="H89" s="91">
        <f>(Założenia!G312+Założenia!G313+Założenia!G314+Założenia!G315+Założenia!G316)*Założenia!G341+(Założenia!G324+Założenia!G325+Założenia!G326+Założenia!G327+Założenia!G328)*Założenia!G345</f>
        <v>93224.038784377408</v>
      </c>
      <c r="I89" s="91">
        <f>(Założenia!H312+Założenia!H313+Założenia!H314+Założenia!H315+Założenia!H316)*Założenia!H341+(Założenia!H324+Założenia!H325+Założenia!H326+Założenia!H327+Założenia!H328)*Założenia!H345</f>
        <v>93224.038784377408</v>
      </c>
      <c r="J89" s="91">
        <f>(Założenia!I312+Założenia!I313+Założenia!I314+Założenia!I315+Założenia!I316)*Założenia!I341+(Założenia!I324+Założenia!I325+Założenia!I326+Założenia!I327+Założenia!I328)*Założenia!I345</f>
        <v>93224.038784377408</v>
      </c>
      <c r="K89" s="91">
        <f>(Założenia!J312+Założenia!J313+Założenia!J314+Założenia!J315+Założenia!J316)*Założenia!J341+(Założenia!J324+Założenia!J325+Założenia!J326+Założenia!J327+Założenia!J328)*Założenia!J345</f>
        <v>0</v>
      </c>
      <c r="L89" s="91">
        <f>(Założenia!K312+Założenia!K313+Założenia!K314+Założenia!K315+Założenia!K316)*Założenia!K341+(Założenia!K324+Założenia!K325+Założenia!K326+Założenia!K327+Założenia!K328)*Założenia!K345</f>
        <v>0</v>
      </c>
      <c r="M89" s="91">
        <f>(Założenia!L312+Założenia!L313+Założenia!L314+Założenia!L315+Założenia!L316)*Założenia!L341+(Założenia!L324+Założenia!L325+Założenia!L326+Założenia!L327+Założenia!L328)*Założenia!L345</f>
        <v>0</v>
      </c>
      <c r="N89" s="91">
        <f>(Założenia!M312+Założenia!M313+Założenia!M314+Założenia!M315+Założenia!M316)*Założenia!M341+(Założenia!M324+Założenia!M325+Założenia!M326+Założenia!M327+Założenia!M328)*Założenia!M345</f>
        <v>0</v>
      </c>
      <c r="O89" s="91">
        <f>(Założenia!N312+Założenia!N313+Założenia!N314+Założenia!N315+Założenia!N316)*Założenia!N341+(Założenia!N324+Założenia!N325+Założenia!N326+Założenia!N327+Założenia!N328)*Założenia!N345</f>
        <v>0</v>
      </c>
      <c r="P89" s="91">
        <f>(Założenia!O312+Założenia!O313+Założenia!O314+Założenia!O315+Założenia!O316)*Założenia!O341+(Założenia!O324+Założenia!O325+Założenia!O326+Założenia!O327+Założenia!O328)*Założenia!O345</f>
        <v>0</v>
      </c>
      <c r="Q89" s="91">
        <f>(Założenia!P312+Założenia!P313+Założenia!P314+Założenia!P315+Założenia!P316)*Założenia!P341+(Założenia!P324+Założenia!P325+Założenia!P326+Założenia!P327+Założenia!P328)*Założenia!P345</f>
        <v>0</v>
      </c>
      <c r="R89" s="91">
        <f>(Założenia!Q312+Założenia!Q313+Założenia!Q314+Założenia!Q315+Założenia!Q316)*Założenia!Q341+(Założenia!Q324+Założenia!Q325+Założenia!Q326+Założenia!Q327+Założenia!Q328)*Założenia!Q345</f>
        <v>0</v>
      </c>
      <c r="S89" s="91">
        <f>(Założenia!R312+Założenia!R313+Założenia!R314+Założenia!R315+Założenia!R316)*Założenia!R341+(Założenia!R324+Założenia!R325+Założenia!R326+Założenia!R327+Założenia!R328)*Założenia!R345</f>
        <v>0</v>
      </c>
      <c r="T89" s="91">
        <f>(Założenia!S312+Założenia!S313+Założenia!S314+Założenia!S315+Założenia!S316)*Założenia!S341+(Założenia!S324+Założenia!S325+Założenia!S326+Założenia!S327+Założenia!S328)*Założenia!S345</f>
        <v>0</v>
      </c>
      <c r="U89" s="11"/>
    </row>
    <row r="90" spans="1:21" s="23" customFormat="1">
      <c r="A90" s="82"/>
      <c r="B90" s="96" t="s">
        <v>156</v>
      </c>
      <c r="C90" s="175" t="s">
        <v>0</v>
      </c>
      <c r="D90" s="175"/>
      <c r="E90" s="91">
        <f>E88*E89</f>
        <v>59394.483986377862</v>
      </c>
      <c r="F90" s="91">
        <f t="shared" ref="F90:T90" si="20">F88*F89</f>
        <v>59124.794151162045</v>
      </c>
      <c r="G90" s="91">
        <f t="shared" si="20"/>
        <v>60558.774057904535</v>
      </c>
      <c r="H90" s="91">
        <f t="shared" si="20"/>
        <v>59686.215915804074</v>
      </c>
      <c r="I90" s="91">
        <f t="shared" si="20"/>
        <v>61247.291278280434</v>
      </c>
      <c r="J90" s="91">
        <f t="shared" si="20"/>
        <v>62858.404999017039</v>
      </c>
      <c r="K90" s="91">
        <f t="shared" si="20"/>
        <v>0</v>
      </c>
      <c r="L90" s="91">
        <f t="shared" si="20"/>
        <v>0</v>
      </c>
      <c r="M90" s="91">
        <f t="shared" si="20"/>
        <v>0</v>
      </c>
      <c r="N90" s="91">
        <f t="shared" si="20"/>
        <v>0</v>
      </c>
      <c r="O90" s="91">
        <f t="shared" si="20"/>
        <v>0</v>
      </c>
      <c r="P90" s="91">
        <f t="shared" si="20"/>
        <v>0</v>
      </c>
      <c r="Q90" s="91">
        <f t="shared" si="20"/>
        <v>0</v>
      </c>
      <c r="R90" s="91">
        <f t="shared" si="20"/>
        <v>0</v>
      </c>
      <c r="S90" s="91">
        <f t="shared" si="20"/>
        <v>0</v>
      </c>
      <c r="T90" s="91">
        <f t="shared" si="20"/>
        <v>0</v>
      </c>
      <c r="U90" s="11"/>
    </row>
    <row r="91" spans="1:21" s="23" customFormat="1">
      <c r="A91" s="82" t="s">
        <v>51</v>
      </c>
      <c r="B91" s="133" t="s">
        <v>369</v>
      </c>
      <c r="C91" s="175"/>
      <c r="D91" s="175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1"/>
    </row>
    <row r="92" spans="1:21" s="23" customFormat="1">
      <c r="A92" s="82"/>
      <c r="B92" s="96" t="s">
        <v>155</v>
      </c>
      <c r="C92" s="175" t="s">
        <v>142</v>
      </c>
      <c r="D92" s="175"/>
      <c r="E92" s="140">
        <f>E88*(1-Założenia!$E$29)</f>
        <v>0.57279022497947629</v>
      </c>
      <c r="F92" s="140">
        <f>F88*(1-Założenia!$E$29)</f>
        <v>0.5778755567293834</v>
      </c>
      <c r="G92" s="140">
        <f>G88*(1-Założenia!$E$29)</f>
        <v>0.59189102940619243</v>
      </c>
      <c r="H92" s="140">
        <f>H88*(1-Założenia!$E$29)</f>
        <v>0.60823266036738199</v>
      </c>
      <c r="I92" s="140">
        <f>I88*(1-Założenia!$E$29)</f>
        <v>0.62414080609557443</v>
      </c>
      <c r="J92" s="140">
        <f>J88*(1-Założenia!$E$29)</f>
        <v>0.64055886794590766</v>
      </c>
      <c r="K92" s="140">
        <f>K88*(1-Założenia!$E$29)</f>
        <v>0.65699050607111342</v>
      </c>
      <c r="L92" s="140">
        <f>L88*(1-Założenia!$E$29)</f>
        <v>0.67393942094630299</v>
      </c>
      <c r="M92" s="140">
        <f>M88*(1-Założenia!$E$29)</f>
        <v>0.69087984401240343</v>
      </c>
      <c r="N92" s="140">
        <f>N88*(1-Założenia!$E$29)</f>
        <v>0.70835564720874045</v>
      </c>
      <c r="O92" s="140">
        <f>O88*(1-Założenia!$E$29)</f>
        <v>0.72581026896482403</v>
      </c>
      <c r="P92" s="140">
        <f>P88*(1-Założenia!$E$29)</f>
        <v>0.74379517976707787</v>
      </c>
      <c r="Q92" s="140">
        <f>Q88*(1-Założenia!$E$29)</f>
        <v>0.76172169113653132</v>
      </c>
      <c r="R92" s="140">
        <f>R88*(1-Założenia!$E$29)</f>
        <v>0.77955190092206539</v>
      </c>
      <c r="S92" s="140">
        <f>S88*(1-Założenia!$E$29)</f>
        <v>0.7972580310148909</v>
      </c>
      <c r="T92" s="140">
        <f>T88*(1-Założenia!$E$29)</f>
        <v>0.81480205541593664</v>
      </c>
      <c r="U92" s="11"/>
    </row>
    <row r="93" spans="1:21" s="23" customFormat="1">
      <c r="A93" s="82"/>
      <c r="B93" s="96" t="s">
        <v>76</v>
      </c>
      <c r="C93" s="175" t="s">
        <v>134</v>
      </c>
      <c r="D93" s="175"/>
      <c r="E93" s="91">
        <f>Założenia!D317*Założenia!D341+Założenia!D329*Założenia!D345</f>
        <v>857960.60588235292</v>
      </c>
      <c r="F93" s="91">
        <f>Założenia!E317*Założenia!E341+Założenia!E329*Założenia!E345</f>
        <v>848788.94338235294</v>
      </c>
      <c r="G93" s="91">
        <f>Założenia!F317*Założenia!F341+Założenia!F329*Założenia!F345</f>
        <v>848788.94338235294</v>
      </c>
      <c r="H93" s="91">
        <f>Założenia!G317*Założenia!G341+Założenia!G329*Założenia!G345</f>
        <v>589685.57896772353</v>
      </c>
      <c r="I93" s="91">
        <f>Założenia!H317*Założenia!H341+Założenia!H329*Założenia!H345</f>
        <v>589685.57896772353</v>
      </c>
      <c r="J93" s="91">
        <f>Założenia!I317*Założenia!I341+Założenia!I329*Założenia!I345</f>
        <v>589685.57896772353</v>
      </c>
      <c r="K93" s="91">
        <f>Założenia!J317*Założenia!J341+Założenia!J329*Założenia!J345</f>
        <v>682909.61775210104</v>
      </c>
      <c r="L93" s="91">
        <f>Założenia!K317*Założenia!K341+Założenia!K329*Założenia!K345</f>
        <v>682909.61775210104</v>
      </c>
      <c r="M93" s="91">
        <f>Założenia!L317*Założenia!L341+Założenia!L329*Założenia!L345</f>
        <v>682909.61775210104</v>
      </c>
      <c r="N93" s="91">
        <f>Założenia!M317*Założenia!M341+Założenia!M329*Założenia!M345</f>
        <v>682909.61775210104</v>
      </c>
      <c r="O93" s="91">
        <f>Założenia!N317*Założenia!N341+Założenia!N329*Założenia!N345</f>
        <v>682909.61775210104</v>
      </c>
      <c r="P93" s="91">
        <f>Założenia!O317*Założenia!O341+Założenia!O329*Założenia!O345</f>
        <v>682909.61775210104</v>
      </c>
      <c r="Q93" s="91">
        <f>Założenia!P317*Założenia!P341+Założenia!P329*Założenia!P345</f>
        <v>682909.61775210104</v>
      </c>
      <c r="R93" s="91">
        <f>Założenia!Q317*Założenia!Q341+Założenia!Q329*Założenia!Q345</f>
        <v>682909.61775210104</v>
      </c>
      <c r="S93" s="91">
        <f>Założenia!R317*Założenia!R341+Założenia!R329*Założenia!R345</f>
        <v>682909.61775210104</v>
      </c>
      <c r="T93" s="91">
        <f>Założenia!S317*Założenia!S341+Założenia!S329*Założenia!S345</f>
        <v>682909.61775210104</v>
      </c>
      <c r="U93" s="11"/>
    </row>
    <row r="94" spans="1:21" s="23" customFormat="1">
      <c r="A94" s="82"/>
      <c r="B94" s="96" t="s">
        <v>156</v>
      </c>
      <c r="C94" s="175" t="s">
        <v>0</v>
      </c>
      <c r="D94" s="175"/>
      <c r="E94" s="91">
        <f>E92*E93</f>
        <v>491431.44846688071</v>
      </c>
      <c r="F94" s="91">
        <f t="shared" ref="F94:T94" si="21">F92*F93</f>
        <v>490494.3832028223</v>
      </c>
      <c r="G94" s="91">
        <f t="shared" si="21"/>
        <v>502390.56144717528</v>
      </c>
      <c r="H94" s="91">
        <f t="shared" si="21"/>
        <v>358666.0284758184</v>
      </c>
      <c r="I94" s="91">
        <f t="shared" si="21"/>
        <v>368046.83259985049</v>
      </c>
      <c r="J94" s="91">
        <f t="shared" si="21"/>
        <v>377728.32690759213</v>
      </c>
      <c r="K94" s="91">
        <f t="shared" si="21"/>
        <v>448665.13536778348</v>
      </c>
      <c r="L94" s="91">
        <f t="shared" si="21"/>
        <v>460239.71234651207</v>
      </c>
      <c r="M94" s="91">
        <f t="shared" si="21"/>
        <v>471808.49018714164</v>
      </c>
      <c r="N94" s="91">
        <f t="shared" si="21"/>
        <v>483742.88426786306</v>
      </c>
      <c r="O94" s="91">
        <f t="shared" si="21"/>
        <v>495662.81333931762</v>
      </c>
      <c r="P94" s="91">
        <f t="shared" si="21"/>
        <v>507944.88190059044</v>
      </c>
      <c r="Q94" s="91">
        <f t="shared" si="21"/>
        <v>520187.06892753259</v>
      </c>
      <c r="R94" s="91">
        <f t="shared" si="21"/>
        <v>532363.49067661143</v>
      </c>
      <c r="S94" s="91">
        <f t="shared" si="21"/>
        <v>544455.17721017182</v>
      </c>
      <c r="T94" s="91">
        <f t="shared" si="21"/>
        <v>556436.1602077235</v>
      </c>
      <c r="U94" s="11"/>
    </row>
    <row r="95" spans="1:21" s="23" customFormat="1">
      <c r="A95" s="82" t="s">
        <v>57</v>
      </c>
      <c r="B95" s="133" t="s">
        <v>230</v>
      </c>
      <c r="C95" s="175"/>
      <c r="D95" s="175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1"/>
    </row>
    <row r="96" spans="1:21" s="23" customFormat="1">
      <c r="A96" s="82"/>
      <c r="B96" s="96" t="s">
        <v>155</v>
      </c>
      <c r="C96" s="175" t="s">
        <v>142</v>
      </c>
      <c r="D96" s="175"/>
      <c r="E96" s="140">
        <f>Założenia!E26*(1-Założenia!$E$28)</f>
        <v>0.12058741578515288</v>
      </c>
      <c r="F96" s="140">
        <f>Założenia!F26*(1-Założenia!$E$28)</f>
        <v>0.12165801194302807</v>
      </c>
      <c r="G96" s="140">
        <f>Założenia!G26*(1-Założenia!$E$28)</f>
        <v>0.12460863776972469</v>
      </c>
      <c r="H96" s="140">
        <f>Założenia!H26*(1-Założenia!$E$28)</f>
        <v>0.12804898112997512</v>
      </c>
      <c r="I96" s="140">
        <f>Założenia!I26*(1-Założenia!$E$28)</f>
        <v>0.13139806444117355</v>
      </c>
      <c r="J96" s="140">
        <f>Założenia!J26*(1-Założenia!$E$28)</f>
        <v>0.13485449851492792</v>
      </c>
      <c r="K96" s="140">
        <f>Założenia!K26*(1-Założenia!$E$28)</f>
        <v>0.13831379075181333</v>
      </c>
      <c r="L96" s="140">
        <f>Założenia!L26*(1-Założenia!$E$28)</f>
        <v>0.14188198335711638</v>
      </c>
      <c r="M96" s="140">
        <f>Założenia!M26*(1-Założenia!$E$28)</f>
        <v>0.14544838821313755</v>
      </c>
      <c r="N96" s="140">
        <f>Założenia!N26*(1-Założenia!$E$28)</f>
        <v>0.14912750467552427</v>
      </c>
      <c r="O96" s="140">
        <f>Założenia!O26*(1-Założenia!$E$28)</f>
        <v>0.15280216188733134</v>
      </c>
      <c r="P96" s="140">
        <f>Założenia!P26*(1-Założenia!$E$28)</f>
        <v>0.15658845889833217</v>
      </c>
      <c r="Q96" s="140">
        <f>Założenia!Q26*(1-Założenia!$E$28)</f>
        <v>0.16036246129190132</v>
      </c>
      <c r="R96" s="140">
        <f>Założenia!R26*(1-Założenia!$E$28)</f>
        <v>0.16411618966780323</v>
      </c>
      <c r="S96" s="140">
        <f>Założenia!S26*(1-Założenia!$E$28)</f>
        <v>0.1678437960031349</v>
      </c>
      <c r="T96" s="140">
        <f>Założenia!T26*(1-Założenia!$E$28)</f>
        <v>0.1715372748244077</v>
      </c>
      <c r="U96" s="11"/>
    </row>
    <row r="97" spans="1:35" s="23" customFormat="1">
      <c r="A97" s="82"/>
      <c r="B97" s="96" t="s">
        <v>76</v>
      </c>
      <c r="C97" s="175" t="s">
        <v>134</v>
      </c>
      <c r="D97" s="175"/>
      <c r="E97" s="91">
        <f>Założenia!D321*Założenia!D343+Założenia!D331*Założenia!D346</f>
        <v>77471</v>
      </c>
      <c r="F97" s="91">
        <f>Założenia!E321*Założenia!E343+Założenia!E331*Założenia!E346</f>
        <v>77471</v>
      </c>
      <c r="G97" s="91">
        <f>Założenia!F321*Założenia!F343+Założenia!F331*Założenia!F346</f>
        <v>77471</v>
      </c>
      <c r="H97" s="91">
        <f>Założenia!G321*Założenia!G343+Założenia!G331*Założenia!G346</f>
        <v>340548.68224789907</v>
      </c>
      <c r="I97" s="91">
        <f>Założenia!H321*Założenia!H343+Założenia!H331*Założenia!H346</f>
        <v>340548.68224789907</v>
      </c>
      <c r="J97" s="91">
        <f>Założenia!I321*Założenia!I343+Założenia!I331*Założenia!I346</f>
        <v>340548.68224789907</v>
      </c>
      <c r="K97" s="91">
        <f>Założenia!J321*Założenia!J343+Założenia!J331*Założenia!J346</f>
        <v>340548.68224789907</v>
      </c>
      <c r="L97" s="91">
        <f>Założenia!K321*Założenia!K343+Założenia!K331*Założenia!K346</f>
        <v>340548.68224789907</v>
      </c>
      <c r="M97" s="91">
        <f>Założenia!L321*Założenia!L343+Założenia!L331*Założenia!L346</f>
        <v>340548.68224789907</v>
      </c>
      <c r="N97" s="91">
        <f>Założenia!M321*Założenia!M343+Założenia!M331*Założenia!M346</f>
        <v>340548.68224789907</v>
      </c>
      <c r="O97" s="91">
        <f>Założenia!N321*Założenia!N343+Założenia!N331*Założenia!N346</f>
        <v>340548.68224789907</v>
      </c>
      <c r="P97" s="91">
        <f>Założenia!O321*Założenia!O343+Założenia!O331*Założenia!O346</f>
        <v>340548.68224789907</v>
      </c>
      <c r="Q97" s="91">
        <f>Założenia!P321*Założenia!P343+Założenia!P331*Założenia!P346</f>
        <v>340548.68224789907</v>
      </c>
      <c r="R97" s="91">
        <f>Założenia!Q321*Założenia!Q343+Założenia!Q331*Założenia!Q346</f>
        <v>340548.68224789907</v>
      </c>
      <c r="S97" s="91">
        <f>Założenia!R321*Założenia!R343+Założenia!R331*Założenia!R346</f>
        <v>340548.68224789907</v>
      </c>
      <c r="T97" s="91">
        <f>Założenia!S321*Założenia!S343+Założenia!S331*Założenia!S346</f>
        <v>340548.68224789907</v>
      </c>
      <c r="U97" s="11"/>
    </row>
    <row r="98" spans="1:35" s="23" customFormat="1">
      <c r="A98" s="82"/>
      <c r="B98" s="96" t="s">
        <v>156</v>
      </c>
      <c r="C98" s="175" t="s">
        <v>0</v>
      </c>
      <c r="D98" s="175"/>
      <c r="E98" s="91">
        <f>E96*E97</f>
        <v>9342.0276882915787</v>
      </c>
      <c r="F98" s="91">
        <f t="shared" ref="F98:T98" si="22">F96*F97</f>
        <v>9424.967843238328</v>
      </c>
      <c r="G98" s="91">
        <f t="shared" si="22"/>
        <v>9653.5557766583424</v>
      </c>
      <c r="H98" s="91">
        <f t="shared" si="22"/>
        <v>43606.911786999124</v>
      </c>
      <c r="I98" s="91">
        <f t="shared" si="22"/>
        <v>44747.437695366178</v>
      </c>
      <c r="J98" s="91">
        <f t="shared" si="22"/>
        <v>45924.521764459969</v>
      </c>
      <c r="K98" s="91">
        <f t="shared" si="22"/>
        <v>47102.579177241678</v>
      </c>
      <c r="L98" s="91">
        <f t="shared" si="22"/>
        <v>48317.722466984327</v>
      </c>
      <c r="M98" s="91">
        <f t="shared" si="22"/>
        <v>49532.256941064843</v>
      </c>
      <c r="N98" s="91">
        <f t="shared" si="22"/>
        <v>50785.175204167193</v>
      </c>
      <c r="O98" s="91">
        <f t="shared" si="22"/>
        <v>52036.574875360835</v>
      </c>
      <c r="P98" s="91">
        <f t="shared" si="22"/>
        <v>53325.993333056329</v>
      </c>
      <c r="Q98" s="91">
        <f t="shared" si="22"/>
        <v>54611.224874986714</v>
      </c>
      <c r="R98" s="91">
        <f t="shared" si="22"/>
        <v>55889.552126916657</v>
      </c>
      <c r="S98" s="91">
        <f t="shared" si="22"/>
        <v>57158.98355235278</v>
      </c>
      <c r="T98" s="91">
        <f t="shared" si="22"/>
        <v>58416.79289784775</v>
      </c>
      <c r="U98" s="11"/>
    </row>
    <row r="99" spans="1:35">
      <c r="A99" s="82"/>
      <c r="B99" s="98"/>
      <c r="C99" s="71"/>
      <c r="D99" s="71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1"/>
    </row>
    <row r="100" spans="1:35" s="1" customFormat="1" ht="12">
      <c r="A100" s="227" t="s">
        <v>26</v>
      </c>
      <c r="B100" s="81" t="s">
        <v>228</v>
      </c>
    </row>
    <row r="101" spans="1:35">
      <c r="A101" s="82" t="s">
        <v>33</v>
      </c>
      <c r="B101" s="96" t="s">
        <v>80</v>
      </c>
      <c r="C101" s="175" t="s">
        <v>0</v>
      </c>
      <c r="D101" s="252">
        <f t="shared" ref="D101:D107" si="23">SUM(E101:T101)</f>
        <v>30560000</v>
      </c>
      <c r="E101" s="33">
        <f>E102+E103</f>
        <v>0</v>
      </c>
      <c r="F101" s="33">
        <f t="shared" ref="F101:T101" si="24">F102+F103</f>
        <v>0</v>
      </c>
      <c r="G101" s="33">
        <f t="shared" si="24"/>
        <v>22810000</v>
      </c>
      <c r="H101" s="33">
        <f t="shared" si="24"/>
        <v>0</v>
      </c>
      <c r="I101" s="33">
        <f t="shared" si="24"/>
        <v>0</v>
      </c>
      <c r="J101" s="33">
        <f t="shared" si="24"/>
        <v>600000</v>
      </c>
      <c r="K101" s="33">
        <f t="shared" si="24"/>
        <v>0</v>
      </c>
      <c r="L101" s="33">
        <f t="shared" si="24"/>
        <v>-600000</v>
      </c>
      <c r="M101" s="33">
        <f t="shared" si="24"/>
        <v>0</v>
      </c>
      <c r="N101" s="33">
        <f t="shared" si="24"/>
        <v>-4200000</v>
      </c>
      <c r="O101" s="33">
        <f t="shared" si="24"/>
        <v>5370000</v>
      </c>
      <c r="P101" s="33">
        <f t="shared" si="24"/>
        <v>0</v>
      </c>
      <c r="Q101" s="33">
        <f t="shared" si="24"/>
        <v>3040000</v>
      </c>
      <c r="R101" s="33">
        <f t="shared" si="24"/>
        <v>0</v>
      </c>
      <c r="S101" s="33">
        <f t="shared" si="24"/>
        <v>4140000</v>
      </c>
      <c r="T101" s="33">
        <f t="shared" si="24"/>
        <v>-600000</v>
      </c>
      <c r="U101" s="1"/>
    </row>
    <row r="102" spans="1:35" s="36" customFormat="1" ht="12">
      <c r="A102" s="82"/>
      <c r="B102" s="96" t="s">
        <v>219</v>
      </c>
      <c r="C102" s="175" t="s">
        <v>0</v>
      </c>
      <c r="D102" s="252">
        <f>SUM(E102:T102)</f>
        <v>29510000</v>
      </c>
      <c r="E102" s="26">
        <f>Opcje!E75-'Scenariusz bazowy'!E102</f>
        <v>0</v>
      </c>
      <c r="F102" s="26">
        <f>Opcje!F75-'Scenariusz bazowy'!F102</f>
        <v>0</v>
      </c>
      <c r="G102" s="26">
        <f>Opcje!G75-'Scenariusz bazowy'!G102</f>
        <v>21760000</v>
      </c>
      <c r="H102" s="26">
        <f>Opcje!H75-'Scenariusz bazowy'!H102</f>
        <v>0</v>
      </c>
      <c r="I102" s="26">
        <f>Opcje!I75-'Scenariusz bazowy'!I102</f>
        <v>0</v>
      </c>
      <c r="J102" s="26">
        <f>Opcje!J75-'Scenariusz bazowy'!J102</f>
        <v>600000</v>
      </c>
      <c r="K102" s="26">
        <f>Opcje!K75-'Scenariusz bazowy'!K102</f>
        <v>0</v>
      </c>
      <c r="L102" s="26">
        <f>Opcje!L75-'Scenariusz bazowy'!L102</f>
        <v>-600000</v>
      </c>
      <c r="M102" s="26">
        <f>Opcje!M75-'Scenariusz bazowy'!M102</f>
        <v>0</v>
      </c>
      <c r="N102" s="26">
        <f>Opcje!N75-'Scenariusz bazowy'!N102</f>
        <v>-4200000</v>
      </c>
      <c r="O102" s="26">
        <f>Opcje!O75-'Scenariusz bazowy'!O102</f>
        <v>5370000</v>
      </c>
      <c r="P102" s="26">
        <f>Opcje!P75-'Scenariusz bazowy'!P102</f>
        <v>0</v>
      </c>
      <c r="Q102" s="26">
        <f>Opcje!Q75-'Scenariusz bazowy'!Q102</f>
        <v>3040000</v>
      </c>
      <c r="R102" s="26">
        <f>Opcje!R75-'Scenariusz bazowy'!R102</f>
        <v>0</v>
      </c>
      <c r="S102" s="26">
        <f>Opcje!S75-'Scenariusz bazowy'!S102</f>
        <v>4140000</v>
      </c>
      <c r="T102" s="26">
        <f>Opcje!T75-'Scenariusz bazowy'!T102</f>
        <v>-600000</v>
      </c>
      <c r="U102" s="1"/>
    </row>
    <row r="103" spans="1:35" s="24" customFormat="1" ht="12">
      <c r="A103" s="82"/>
      <c r="B103" s="96" t="s">
        <v>220</v>
      </c>
      <c r="C103" s="175" t="s">
        <v>0</v>
      </c>
      <c r="D103" s="252">
        <f>SUM(E103:T103)</f>
        <v>1050000</v>
      </c>
      <c r="E103" s="26">
        <f>Opcje!E76-'Scenariusz bazowy'!E103</f>
        <v>0</v>
      </c>
      <c r="F103" s="26">
        <f>Opcje!F76-'Scenariusz bazowy'!F103</f>
        <v>0</v>
      </c>
      <c r="G103" s="26">
        <f>Opcje!G76-'Scenariusz bazowy'!G103</f>
        <v>1050000</v>
      </c>
      <c r="H103" s="26">
        <f>Opcje!H76-'Scenariusz bazowy'!H103</f>
        <v>0</v>
      </c>
      <c r="I103" s="26">
        <f>Opcje!I76-'Scenariusz bazowy'!I103</f>
        <v>0</v>
      </c>
      <c r="J103" s="26">
        <f>Opcje!J76-'Scenariusz bazowy'!J103</f>
        <v>0</v>
      </c>
      <c r="K103" s="26">
        <f>Opcje!K76-'Scenariusz bazowy'!K103</f>
        <v>0</v>
      </c>
      <c r="L103" s="26">
        <f>Opcje!L76-'Scenariusz bazowy'!L103</f>
        <v>0</v>
      </c>
      <c r="M103" s="26">
        <f>Opcje!M76-'Scenariusz bazowy'!M103</f>
        <v>0</v>
      </c>
      <c r="N103" s="26">
        <f>Opcje!N76-'Scenariusz bazowy'!N103</f>
        <v>0</v>
      </c>
      <c r="O103" s="26">
        <f>Opcje!O76-'Scenariusz bazowy'!O103</f>
        <v>0</v>
      </c>
      <c r="P103" s="26">
        <f>Opcje!P76-'Scenariusz bazowy'!P103</f>
        <v>0</v>
      </c>
      <c r="Q103" s="26">
        <f>Opcje!Q76-'Scenariusz bazowy'!Q103</f>
        <v>0</v>
      </c>
      <c r="R103" s="26">
        <f>Opcje!R76-'Scenariusz bazowy'!R103</f>
        <v>0</v>
      </c>
      <c r="S103" s="26">
        <f>Opcje!S76-'Scenariusz bazowy'!S103</f>
        <v>0</v>
      </c>
      <c r="T103" s="26">
        <f>Opcje!T76-'Scenariusz bazowy'!T103</f>
        <v>0</v>
      </c>
      <c r="U103" s="1"/>
    </row>
    <row r="104" spans="1:35" s="36" customFormat="1" ht="12">
      <c r="A104" s="82" t="s">
        <v>34</v>
      </c>
      <c r="B104" s="96" t="s">
        <v>221</v>
      </c>
      <c r="C104" s="175" t="s">
        <v>0</v>
      </c>
      <c r="D104" s="252">
        <f t="shared" si="23"/>
        <v>750000</v>
      </c>
      <c r="E104" s="33">
        <f>E105+E107+E106</f>
        <v>0</v>
      </c>
      <c r="F104" s="33">
        <f t="shared" ref="F104:T104" si="25">F105+F107+F106</f>
        <v>0</v>
      </c>
      <c r="G104" s="33">
        <f t="shared" si="25"/>
        <v>0</v>
      </c>
      <c r="H104" s="33">
        <f t="shared" si="25"/>
        <v>0</v>
      </c>
      <c r="I104" s="33">
        <f t="shared" si="25"/>
        <v>0</v>
      </c>
      <c r="J104" s="33">
        <f t="shared" si="25"/>
        <v>150000</v>
      </c>
      <c r="K104" s="33">
        <f t="shared" si="25"/>
        <v>0</v>
      </c>
      <c r="L104" s="33">
        <f t="shared" si="25"/>
        <v>0</v>
      </c>
      <c r="M104" s="33">
        <f t="shared" si="25"/>
        <v>0</v>
      </c>
      <c r="N104" s="33">
        <f t="shared" si="25"/>
        <v>750000</v>
      </c>
      <c r="O104" s="33">
        <f t="shared" si="25"/>
        <v>0</v>
      </c>
      <c r="P104" s="33">
        <f t="shared" si="25"/>
        <v>0</v>
      </c>
      <c r="Q104" s="33">
        <f t="shared" si="25"/>
        <v>-150000</v>
      </c>
      <c r="R104" s="33">
        <f t="shared" si="25"/>
        <v>0</v>
      </c>
      <c r="S104" s="33">
        <f t="shared" si="25"/>
        <v>0</v>
      </c>
      <c r="T104" s="33">
        <f t="shared" si="25"/>
        <v>0</v>
      </c>
      <c r="U104" s="1"/>
    </row>
    <row r="105" spans="1:35">
      <c r="A105" s="82"/>
      <c r="B105" s="96" t="s">
        <v>219</v>
      </c>
      <c r="C105" s="175" t="s">
        <v>0</v>
      </c>
      <c r="D105" s="252">
        <f t="shared" si="23"/>
        <v>0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26"/>
      <c r="S105" s="26"/>
      <c r="T105" s="26"/>
      <c r="U105" s="1"/>
    </row>
    <row r="106" spans="1:35">
      <c r="A106" s="82"/>
      <c r="B106" s="96" t="s">
        <v>245</v>
      </c>
      <c r="C106" s="175" t="s">
        <v>0</v>
      </c>
      <c r="D106" s="252">
        <f t="shared" si="23"/>
        <v>750000</v>
      </c>
      <c r="E106" s="26">
        <f>Opcje!E77-'Scenariusz bazowy'!E107</f>
        <v>0</v>
      </c>
      <c r="F106" s="26">
        <f>Opcje!F77-'Scenariusz bazowy'!F107</f>
        <v>0</v>
      </c>
      <c r="G106" s="26">
        <f>Opcje!G77-'Scenariusz bazowy'!G107</f>
        <v>0</v>
      </c>
      <c r="H106" s="26">
        <f>Opcje!H77-'Scenariusz bazowy'!H107</f>
        <v>0</v>
      </c>
      <c r="I106" s="26">
        <f>Opcje!I77-'Scenariusz bazowy'!I107</f>
        <v>0</v>
      </c>
      <c r="J106" s="26">
        <f>Opcje!J77-'Scenariusz bazowy'!J107</f>
        <v>150000</v>
      </c>
      <c r="K106" s="26">
        <f>Opcje!K77-'Scenariusz bazowy'!K107</f>
        <v>0</v>
      </c>
      <c r="L106" s="26">
        <f>Opcje!L77-'Scenariusz bazowy'!L107</f>
        <v>0</v>
      </c>
      <c r="M106" s="26">
        <f>Opcje!M77-'Scenariusz bazowy'!M107</f>
        <v>0</v>
      </c>
      <c r="N106" s="26">
        <f>Opcje!N77-'Scenariusz bazowy'!N107</f>
        <v>750000</v>
      </c>
      <c r="O106" s="26">
        <f>Opcje!O77-'Scenariusz bazowy'!O107</f>
        <v>0</v>
      </c>
      <c r="P106" s="26">
        <f>Opcje!P77-'Scenariusz bazowy'!P107</f>
        <v>0</v>
      </c>
      <c r="Q106" s="26">
        <f>Opcje!Q77-'Scenariusz bazowy'!Q107</f>
        <v>-150000</v>
      </c>
      <c r="R106" s="26">
        <f>Opcje!R77-'Scenariusz bazowy'!R107</f>
        <v>0</v>
      </c>
      <c r="S106" s="26">
        <f>Opcje!S77-'Scenariusz bazowy'!S107</f>
        <v>0</v>
      </c>
      <c r="T106" s="26">
        <f>Opcje!T77-'Scenariusz bazowy'!T107</f>
        <v>0</v>
      </c>
      <c r="U106" s="1"/>
    </row>
    <row r="107" spans="1:35" s="36" customFormat="1" ht="12">
      <c r="A107" s="82"/>
      <c r="B107" s="96" t="s">
        <v>220</v>
      </c>
      <c r="C107" s="175" t="s">
        <v>0</v>
      </c>
      <c r="D107" s="252">
        <f t="shared" si="23"/>
        <v>0</v>
      </c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1"/>
    </row>
    <row r="108" spans="1:35">
      <c r="A108" s="1"/>
      <c r="B108" s="86"/>
      <c r="C108" s="71"/>
      <c r="D108" s="82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1"/>
    </row>
    <row r="109" spans="1:35" s="36" customFormat="1" ht="12">
      <c r="A109" s="82"/>
      <c r="B109" s="144"/>
      <c r="C109" s="71"/>
      <c r="D109" s="143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1"/>
    </row>
    <row r="110" spans="1:35" s="1" customFormat="1" ht="12">
      <c r="A110" s="82"/>
      <c r="B110" s="158"/>
      <c r="C110" s="272"/>
      <c r="D110" s="273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</row>
    <row r="111" spans="1:35" s="1" customFormat="1" ht="12">
      <c r="A111" s="82"/>
      <c r="B111" s="158"/>
      <c r="C111" s="272"/>
      <c r="D111" s="273"/>
      <c r="E111" s="274">
        <v>1</v>
      </c>
      <c r="F111" s="274">
        <f>E111+1</f>
        <v>2</v>
      </c>
      <c r="G111" s="274">
        <f t="shared" ref="G111:T112" si="26">F111+1</f>
        <v>3</v>
      </c>
      <c r="H111" s="274">
        <f t="shared" si="26"/>
        <v>4</v>
      </c>
      <c r="I111" s="274">
        <f t="shared" si="26"/>
        <v>5</v>
      </c>
      <c r="J111" s="274">
        <f t="shared" si="26"/>
        <v>6</v>
      </c>
      <c r="K111" s="274">
        <f t="shared" si="26"/>
        <v>7</v>
      </c>
      <c r="L111" s="274">
        <f t="shared" si="26"/>
        <v>8</v>
      </c>
      <c r="M111" s="274">
        <f t="shared" si="26"/>
        <v>9</v>
      </c>
      <c r="N111" s="274">
        <f t="shared" si="26"/>
        <v>10</v>
      </c>
      <c r="O111" s="274">
        <f t="shared" si="26"/>
        <v>11</v>
      </c>
      <c r="P111" s="274">
        <f t="shared" si="26"/>
        <v>12</v>
      </c>
      <c r="Q111" s="274">
        <f t="shared" si="26"/>
        <v>13</v>
      </c>
      <c r="R111" s="274">
        <f t="shared" si="26"/>
        <v>14</v>
      </c>
      <c r="S111" s="274">
        <f t="shared" si="26"/>
        <v>15</v>
      </c>
      <c r="T111" s="274">
        <f t="shared" si="26"/>
        <v>16</v>
      </c>
      <c r="U111" s="274"/>
      <c r="V111" s="192"/>
      <c r="W111" s="192"/>
      <c r="X111" s="192"/>
      <c r="Y111" s="192"/>
      <c r="Z111" s="192"/>
      <c r="AA111" s="192"/>
      <c r="AB111" s="192"/>
      <c r="AC111" s="192"/>
      <c r="AD111" s="192"/>
      <c r="AE111" s="192"/>
      <c r="AF111" s="192"/>
      <c r="AG111" s="192"/>
      <c r="AH111" s="192"/>
      <c r="AI111" s="159"/>
    </row>
    <row r="112" spans="1:35" s="1" customFormat="1">
      <c r="A112" s="227" t="s">
        <v>250</v>
      </c>
      <c r="B112" s="81" t="s">
        <v>358</v>
      </c>
      <c r="C112" s="272"/>
      <c r="D112" s="273"/>
      <c r="E112" s="250">
        <f>T5+1</f>
        <v>2040</v>
      </c>
      <c r="F112" s="250">
        <f>E112+1</f>
        <v>2041</v>
      </c>
      <c r="G112" s="250">
        <f t="shared" si="26"/>
        <v>2042</v>
      </c>
      <c r="H112" s="250">
        <f t="shared" si="26"/>
        <v>2043</v>
      </c>
      <c r="I112" s="250">
        <f t="shared" si="26"/>
        <v>2044</v>
      </c>
      <c r="J112" s="250">
        <f t="shared" si="26"/>
        <v>2045</v>
      </c>
      <c r="K112" s="250">
        <f t="shared" si="26"/>
        <v>2046</v>
      </c>
      <c r="L112" s="250">
        <f t="shared" si="26"/>
        <v>2047</v>
      </c>
      <c r="M112" s="250">
        <f t="shared" si="26"/>
        <v>2048</v>
      </c>
      <c r="N112" s="250">
        <f t="shared" si="26"/>
        <v>2049</v>
      </c>
      <c r="O112" s="250">
        <f t="shared" si="26"/>
        <v>2050</v>
      </c>
      <c r="P112" s="250">
        <f t="shared" si="26"/>
        <v>2051</v>
      </c>
      <c r="Q112" s="250">
        <f t="shared" si="26"/>
        <v>2052</v>
      </c>
      <c r="R112" s="250">
        <f t="shared" si="26"/>
        <v>2053</v>
      </c>
      <c r="S112" s="250">
        <f t="shared" si="26"/>
        <v>2054</v>
      </c>
      <c r="T112" s="250">
        <f t="shared" si="26"/>
        <v>2055</v>
      </c>
      <c r="U112" s="250"/>
      <c r="V112" s="193"/>
      <c r="W112" s="193"/>
      <c r="X112" s="193"/>
      <c r="Y112" s="193"/>
      <c r="Z112" s="193"/>
      <c r="AA112" s="193"/>
      <c r="AB112" s="193"/>
      <c r="AC112" s="193"/>
      <c r="AD112" s="193"/>
      <c r="AE112" s="193"/>
      <c r="AF112" s="193"/>
      <c r="AG112" s="193"/>
      <c r="AH112" s="193"/>
      <c r="AI112" s="148"/>
    </row>
    <row r="113" spans="1:34" s="1" customFormat="1" ht="12">
      <c r="A113" s="82" t="s">
        <v>33</v>
      </c>
      <c r="B113" s="97" t="s">
        <v>168</v>
      </c>
      <c r="C113" s="253" t="s">
        <v>147</v>
      </c>
      <c r="D113" s="275">
        <f>Założenia!$E$6</f>
        <v>2024</v>
      </c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</row>
    <row r="114" spans="1:34" s="1" customFormat="1" ht="12">
      <c r="A114" s="82" t="s">
        <v>34</v>
      </c>
      <c r="B114" s="97" t="s">
        <v>169</v>
      </c>
      <c r="C114" s="253" t="s">
        <v>147</v>
      </c>
      <c r="D114" s="275">
        <f>Założenia!$E$8</f>
        <v>2039</v>
      </c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</row>
    <row r="115" spans="1:34" s="1" customFormat="1" ht="12">
      <c r="A115" s="82" t="s">
        <v>29</v>
      </c>
      <c r="B115" s="97" t="s">
        <v>3</v>
      </c>
      <c r="C115" s="253" t="s">
        <v>27</v>
      </c>
      <c r="D115" s="252">
        <f>Założenia!$E$9</f>
        <v>15</v>
      </c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</row>
    <row r="116" spans="1:34" s="1" customFormat="1" ht="12">
      <c r="A116" s="82" t="s">
        <v>35</v>
      </c>
      <c r="B116" s="134" t="s">
        <v>171</v>
      </c>
      <c r="C116" s="253" t="s">
        <v>27</v>
      </c>
      <c r="D116" s="254">
        <f>D148</f>
        <v>14</v>
      </c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</row>
    <row r="117" spans="1:34" s="1" customFormat="1" ht="12">
      <c r="A117" s="82" t="s">
        <v>36</v>
      </c>
      <c r="B117" s="134" t="s">
        <v>172</v>
      </c>
      <c r="C117" s="253" t="s">
        <v>0</v>
      </c>
      <c r="D117" s="254"/>
      <c r="E117" s="20">
        <f>IF(E148&gt;0,(-$T$127-AVERAGE($E$131:$T$131)),0)</f>
        <v>60571.514975668862</v>
      </c>
      <c r="F117" s="20">
        <f t="shared" ref="F117:T117" si="27">IF(F148&gt;0,(-$T$127-AVERAGE($E$131:$T$131)),0)</f>
        <v>60571.514975668862</v>
      </c>
      <c r="G117" s="20">
        <f t="shared" si="27"/>
        <v>60571.514975668862</v>
      </c>
      <c r="H117" s="20">
        <f t="shared" si="27"/>
        <v>60571.514975668862</v>
      </c>
      <c r="I117" s="20">
        <f t="shared" si="27"/>
        <v>60571.514975668862</v>
      </c>
      <c r="J117" s="20">
        <f t="shared" si="27"/>
        <v>60571.514975668862</v>
      </c>
      <c r="K117" s="20">
        <f t="shared" si="27"/>
        <v>60571.514975668862</v>
      </c>
      <c r="L117" s="20">
        <f t="shared" si="27"/>
        <v>60571.514975668862</v>
      </c>
      <c r="M117" s="20">
        <f t="shared" si="27"/>
        <v>60571.514975668862</v>
      </c>
      <c r="N117" s="20">
        <f t="shared" si="27"/>
        <v>60571.514975668862</v>
      </c>
      <c r="O117" s="20">
        <f t="shared" si="27"/>
        <v>60571.514975668862</v>
      </c>
      <c r="P117" s="20">
        <f t="shared" si="27"/>
        <v>60571.514975668862</v>
      </c>
      <c r="Q117" s="20">
        <f t="shared" si="27"/>
        <v>60571.514975668862</v>
      </c>
      <c r="R117" s="20">
        <f t="shared" si="27"/>
        <v>60571.514975668862</v>
      </c>
      <c r="S117" s="20">
        <f t="shared" si="27"/>
        <v>0</v>
      </c>
      <c r="T117" s="20">
        <f t="shared" si="27"/>
        <v>0</v>
      </c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</row>
    <row r="118" spans="1:34" s="1" customFormat="1" ht="12">
      <c r="A118" s="82" t="s">
        <v>37</v>
      </c>
      <c r="B118" s="134" t="s">
        <v>173</v>
      </c>
      <c r="C118" s="253" t="s">
        <v>0</v>
      </c>
      <c r="D118" s="254"/>
      <c r="E118" s="20">
        <f>E117/(1+Założenia!$E$16)^E111</f>
        <v>58241.841322758519</v>
      </c>
      <c r="F118" s="20">
        <f>F117/(1+Założenia!$E$16)^F111</f>
        <v>56001.77050265242</v>
      </c>
      <c r="G118" s="20">
        <f>G117/(1+Założenia!$E$16)^G111</f>
        <v>53847.856252550402</v>
      </c>
      <c r="H118" s="20">
        <f>H117/(1+Założenia!$E$16)^H111</f>
        <v>51776.784858221537</v>
      </c>
      <c r="I118" s="20">
        <f>I117/(1+Założenia!$E$16)^I111</f>
        <v>49785.370055982239</v>
      </c>
      <c r="J118" s="20">
        <f>J117/(1+Założenia!$E$16)^J111</f>
        <v>47870.548130752155</v>
      </c>
      <c r="K118" s="20">
        <f>K117/(1+Założenia!$E$16)^K111</f>
        <v>46029.373202646311</v>
      </c>
      <c r="L118" s="20">
        <f>L117/(1+Założenia!$E$16)^L111</f>
        <v>44259.012694852208</v>
      </c>
      <c r="M118" s="20">
        <f>M117/(1+Założenia!$E$16)^M111</f>
        <v>42556.742975819434</v>
      </c>
      <c r="N118" s="20">
        <f>N117/(1+Założenia!$E$16)^N111</f>
        <v>40919.945169057144</v>
      </c>
      <c r="O118" s="20">
        <f>O117/(1+Założenia!$E$16)^O111</f>
        <v>39346.101124093409</v>
      </c>
      <c r="P118" s="20">
        <f>P117/(1+Założenia!$E$16)^P111</f>
        <v>37832.789542397506</v>
      </c>
      <c r="Q118" s="20">
        <f>Q117/(1+Założenia!$E$16)^Q111</f>
        <v>36377.682252305291</v>
      </c>
      <c r="R118" s="20">
        <f>R117/(1+Założenia!$E$16)^R111</f>
        <v>34978.540627216622</v>
      </c>
      <c r="S118" s="20">
        <f>S117/(1+Założenia!$E$16)^S111</f>
        <v>0</v>
      </c>
      <c r="T118" s="20">
        <f>T117/(1+Założenia!$E$16)^T111</f>
        <v>0</v>
      </c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</row>
    <row r="119" spans="1:34" s="1" customFormat="1" ht="12">
      <c r="A119" s="82" t="s">
        <v>38</v>
      </c>
      <c r="B119" s="134" t="s">
        <v>174</v>
      </c>
      <c r="C119" s="253" t="s">
        <v>0</v>
      </c>
      <c r="D119" s="254">
        <f>SUM(E118:AH118)</f>
        <v>639824.35871130519</v>
      </c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</row>
    <row r="120" spans="1:34" s="23" customFormat="1">
      <c r="A120" s="11"/>
      <c r="B120" s="276"/>
      <c r="C120" s="4"/>
      <c r="D120" s="4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11"/>
    </row>
    <row r="121" spans="1:34" s="23" customFormat="1">
      <c r="A121" s="11"/>
      <c r="B121" s="276"/>
      <c r="C121" s="4"/>
      <c r="D121" s="4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11"/>
    </row>
    <row r="122" spans="1:34" s="1" customFormat="1" ht="12">
      <c r="A122" s="227" t="s">
        <v>251</v>
      </c>
      <c r="B122" s="81" t="s">
        <v>222</v>
      </c>
      <c r="E122" s="274">
        <v>0</v>
      </c>
      <c r="F122" s="274">
        <f>E122+1</f>
        <v>1</v>
      </c>
      <c r="G122" s="274">
        <f t="shared" ref="G122:T122" si="28">F122+1</f>
        <v>2</v>
      </c>
      <c r="H122" s="274">
        <f t="shared" si="28"/>
        <v>3</v>
      </c>
      <c r="I122" s="274">
        <f t="shared" si="28"/>
        <v>4</v>
      </c>
      <c r="J122" s="274">
        <f t="shared" si="28"/>
        <v>5</v>
      </c>
      <c r="K122" s="274">
        <f t="shared" si="28"/>
        <v>6</v>
      </c>
      <c r="L122" s="274">
        <f t="shared" si="28"/>
        <v>7</v>
      </c>
      <c r="M122" s="274">
        <f t="shared" si="28"/>
        <v>8</v>
      </c>
      <c r="N122" s="274">
        <f t="shared" si="28"/>
        <v>9</v>
      </c>
      <c r="O122" s="274">
        <f t="shared" si="28"/>
        <v>10</v>
      </c>
      <c r="P122" s="274">
        <f t="shared" si="28"/>
        <v>11</v>
      </c>
      <c r="Q122" s="274">
        <f t="shared" si="28"/>
        <v>12</v>
      </c>
      <c r="R122" s="274">
        <f t="shared" si="28"/>
        <v>13</v>
      </c>
      <c r="S122" s="274">
        <f t="shared" si="28"/>
        <v>14</v>
      </c>
      <c r="T122" s="274">
        <f t="shared" si="28"/>
        <v>15</v>
      </c>
    </row>
    <row r="123" spans="1:34" s="23" customFormat="1">
      <c r="A123" s="37" t="s">
        <v>33</v>
      </c>
      <c r="B123" s="101" t="s">
        <v>83</v>
      </c>
      <c r="C123" s="253" t="s">
        <v>0</v>
      </c>
      <c r="D123" s="253"/>
      <c r="E123" s="33">
        <f>E124+E125</f>
        <v>0</v>
      </c>
      <c r="F123" s="33">
        <f t="shared" ref="F123:T123" si="29">F124+F125</f>
        <v>0</v>
      </c>
      <c r="G123" s="33">
        <f t="shared" si="29"/>
        <v>0</v>
      </c>
      <c r="H123" s="33">
        <f t="shared" si="29"/>
        <v>0</v>
      </c>
      <c r="I123" s="33">
        <f t="shared" si="29"/>
        <v>0</v>
      </c>
      <c r="J123" s="33">
        <f t="shared" si="29"/>
        <v>0</v>
      </c>
      <c r="K123" s="33">
        <f t="shared" si="29"/>
        <v>0</v>
      </c>
      <c r="L123" s="33">
        <f t="shared" si="29"/>
        <v>0</v>
      </c>
      <c r="M123" s="33">
        <f t="shared" si="29"/>
        <v>0</v>
      </c>
      <c r="N123" s="33">
        <f t="shared" si="29"/>
        <v>0</v>
      </c>
      <c r="O123" s="33">
        <f t="shared" si="29"/>
        <v>0</v>
      </c>
      <c r="P123" s="33">
        <f t="shared" si="29"/>
        <v>0</v>
      </c>
      <c r="Q123" s="33">
        <f t="shared" si="29"/>
        <v>0</v>
      </c>
      <c r="R123" s="33">
        <f t="shared" si="29"/>
        <v>0</v>
      </c>
      <c r="S123" s="33">
        <f t="shared" si="29"/>
        <v>0</v>
      </c>
      <c r="T123" s="33">
        <f t="shared" si="29"/>
        <v>639824.35871130519</v>
      </c>
      <c r="U123" s="11"/>
    </row>
    <row r="124" spans="1:34" s="23" customFormat="1">
      <c r="A124" s="82" t="s">
        <v>42</v>
      </c>
      <c r="B124" s="95" t="s">
        <v>304</v>
      </c>
      <c r="C124" s="175" t="s">
        <v>0</v>
      </c>
      <c r="D124" s="253"/>
      <c r="E124" s="33">
        <f>E9-'Scenariusz bazowy'!E9</f>
        <v>0</v>
      </c>
      <c r="F124" s="33">
        <f>F9-'Scenariusz bazowy'!F9</f>
        <v>0</v>
      </c>
      <c r="G124" s="33">
        <f>G9-'Scenariusz bazowy'!G9</f>
        <v>0</v>
      </c>
      <c r="H124" s="33">
        <f>H9-'Scenariusz bazowy'!H9</f>
        <v>0</v>
      </c>
      <c r="I124" s="33">
        <f>I9-'Scenariusz bazowy'!I9</f>
        <v>0</v>
      </c>
      <c r="J124" s="33">
        <f>J9-'Scenariusz bazowy'!J9</f>
        <v>0</v>
      </c>
      <c r="K124" s="33">
        <f>K9-'Scenariusz bazowy'!K9</f>
        <v>0</v>
      </c>
      <c r="L124" s="33">
        <f>L9-'Scenariusz bazowy'!L9</f>
        <v>0</v>
      </c>
      <c r="M124" s="33">
        <f>M9-'Scenariusz bazowy'!M9</f>
        <v>0</v>
      </c>
      <c r="N124" s="33">
        <f>N9-'Scenariusz bazowy'!N9</f>
        <v>0</v>
      </c>
      <c r="O124" s="33">
        <f>O9-'Scenariusz bazowy'!O9</f>
        <v>0</v>
      </c>
      <c r="P124" s="33">
        <f>P9-'Scenariusz bazowy'!P9</f>
        <v>0</v>
      </c>
      <c r="Q124" s="33">
        <f>Q9-'Scenariusz bazowy'!Q9</f>
        <v>0</v>
      </c>
      <c r="R124" s="33">
        <f>R9-'Scenariusz bazowy'!R9</f>
        <v>0</v>
      </c>
      <c r="S124" s="33">
        <f>S9-'Scenariusz bazowy'!S9</f>
        <v>0</v>
      </c>
      <c r="T124" s="33">
        <f>T9-'Scenariusz bazowy'!T9</f>
        <v>0</v>
      </c>
      <c r="U124" s="11"/>
    </row>
    <row r="125" spans="1:34" s="1" customFormat="1" ht="12">
      <c r="A125" s="82" t="s">
        <v>43</v>
      </c>
      <c r="B125" s="95" t="s">
        <v>282</v>
      </c>
      <c r="C125" s="175" t="s">
        <v>0</v>
      </c>
      <c r="D125" s="175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>
        <f>IF(D119&gt;0,D119,0)</f>
        <v>639824.35871130519</v>
      </c>
    </row>
    <row r="126" spans="1:34" s="11" customFormat="1" ht="12">
      <c r="A126" s="37" t="s">
        <v>34</v>
      </c>
      <c r="B126" s="101" t="s">
        <v>84</v>
      </c>
      <c r="C126" s="253" t="s">
        <v>0</v>
      </c>
      <c r="D126" s="253"/>
      <c r="E126" s="19">
        <f>E127+E128+E131</f>
        <v>-73552.462792251259</v>
      </c>
      <c r="F126" s="19">
        <f t="shared" ref="F126:T126" si="30">F127+F128+F131</f>
        <v>-72789.654442760162</v>
      </c>
      <c r="G126" s="19">
        <f t="shared" si="30"/>
        <v>22695266.635083929</v>
      </c>
      <c r="H126" s="19">
        <f t="shared" si="30"/>
        <v>-82741.405972735025</v>
      </c>
      <c r="I126" s="19">
        <f t="shared" si="30"/>
        <v>-87413.727824751288</v>
      </c>
      <c r="J126" s="19">
        <f t="shared" si="30"/>
        <v>657913.95032323059</v>
      </c>
      <c r="K126" s="19">
        <f t="shared" si="30"/>
        <v>-124676.34160413779</v>
      </c>
      <c r="L126" s="19">
        <f t="shared" si="30"/>
        <v>-705932.56360682286</v>
      </c>
      <c r="M126" s="19">
        <f t="shared" si="30"/>
        <v>-110876.68782643136</v>
      </c>
      <c r="N126" s="19">
        <f t="shared" si="30"/>
        <v>-3366222.0902926661</v>
      </c>
      <c r="O126" s="19">
        <f t="shared" si="30"/>
        <v>5448833.7854877254</v>
      </c>
      <c r="P126" s="19">
        <f t="shared" si="30"/>
        <v>-65313.064913950861</v>
      </c>
      <c r="Q126" s="19">
        <f t="shared" si="30"/>
        <v>2878553.148525916</v>
      </c>
      <c r="R126" s="19">
        <f t="shared" si="30"/>
        <v>-70391.279171250761</v>
      </c>
      <c r="S126" s="19">
        <f t="shared" si="30"/>
        <v>4064664.5966091426</v>
      </c>
      <c r="T126" s="19">
        <f t="shared" si="30"/>
        <v>-707446.51497566886</v>
      </c>
    </row>
    <row r="127" spans="1:34" s="1" customFormat="1" ht="12">
      <c r="A127" s="82" t="s">
        <v>48</v>
      </c>
      <c r="B127" s="95" t="s">
        <v>283</v>
      </c>
      <c r="C127" s="175" t="s">
        <v>0</v>
      </c>
      <c r="D127" s="175"/>
      <c r="E127" s="20">
        <f>E10-'Scenariusz bazowy'!E10</f>
        <v>-73552.462792251259</v>
      </c>
      <c r="F127" s="20">
        <f>F10-'Scenariusz bazowy'!F10</f>
        <v>-72789.654442760162</v>
      </c>
      <c r="G127" s="20">
        <f>G10-'Scenariusz bazowy'!G10</f>
        <v>-114733.36491607316</v>
      </c>
      <c r="H127" s="20">
        <f>H10-'Scenariusz bazowy'!H10</f>
        <v>-82741.405972735025</v>
      </c>
      <c r="I127" s="20">
        <f>I10-'Scenariusz bazowy'!I10</f>
        <v>-87413.727824751288</v>
      </c>
      <c r="J127" s="20">
        <f>J10-'Scenariusz bazowy'!J10</f>
        <v>-92086.049676769413</v>
      </c>
      <c r="K127" s="20">
        <f>K10-'Scenariusz bazowy'!K10</f>
        <v>-124676.34160413779</v>
      </c>
      <c r="L127" s="20">
        <f>L10-'Scenariusz bazowy'!L10</f>
        <v>-105932.56360682286</v>
      </c>
      <c r="M127" s="20">
        <f>M10-'Scenariusz bazowy'!M10</f>
        <v>-110876.68782643136</v>
      </c>
      <c r="N127" s="20">
        <f>N10-'Scenariusz bazowy'!N10</f>
        <v>83777.909707333893</v>
      </c>
      <c r="O127" s="20">
        <f>O10-'Scenariusz bazowy'!O10</f>
        <v>78833.785487725399</v>
      </c>
      <c r="P127" s="20">
        <f>P10-'Scenariusz bazowy'!P10</f>
        <v>-65313.064913950861</v>
      </c>
      <c r="Q127" s="20">
        <f>Q10-'Scenariusz bazowy'!Q10</f>
        <v>-11446.85147408396</v>
      </c>
      <c r="R127" s="20">
        <f>R10-'Scenariusz bazowy'!R10</f>
        <v>-70391.279171250761</v>
      </c>
      <c r="S127" s="20">
        <f>S10-'Scenariusz bazowy'!S10</f>
        <v>-75335.403390857391</v>
      </c>
      <c r="T127" s="20">
        <f>T10-'Scenariusz bazowy'!T10</f>
        <v>-107446.51497566886</v>
      </c>
    </row>
    <row r="128" spans="1:34" s="1" customFormat="1" ht="12">
      <c r="A128" s="82" t="s">
        <v>49</v>
      </c>
      <c r="B128" s="95" t="s">
        <v>284</v>
      </c>
      <c r="C128" s="175" t="s">
        <v>0</v>
      </c>
      <c r="D128" s="175"/>
      <c r="E128" s="20">
        <f>E129+E130</f>
        <v>0</v>
      </c>
      <c r="F128" s="20">
        <f t="shared" ref="F128:T128" si="31">F129+F130</f>
        <v>0</v>
      </c>
      <c r="G128" s="20">
        <f t="shared" si="31"/>
        <v>22810000</v>
      </c>
      <c r="H128" s="20">
        <f t="shared" si="31"/>
        <v>0</v>
      </c>
      <c r="I128" s="20">
        <f t="shared" si="31"/>
        <v>0</v>
      </c>
      <c r="J128" s="20">
        <f t="shared" si="31"/>
        <v>600000</v>
      </c>
      <c r="K128" s="20">
        <f t="shared" si="31"/>
        <v>0</v>
      </c>
      <c r="L128" s="20">
        <f t="shared" si="31"/>
        <v>-600000</v>
      </c>
      <c r="M128" s="20">
        <f t="shared" si="31"/>
        <v>0</v>
      </c>
      <c r="N128" s="20">
        <f t="shared" si="31"/>
        <v>-4200000</v>
      </c>
      <c r="O128" s="20">
        <f t="shared" si="31"/>
        <v>5370000</v>
      </c>
      <c r="P128" s="20">
        <f t="shared" si="31"/>
        <v>0</v>
      </c>
      <c r="Q128" s="20">
        <f t="shared" si="31"/>
        <v>3040000</v>
      </c>
      <c r="R128" s="20">
        <f t="shared" si="31"/>
        <v>0</v>
      </c>
      <c r="S128" s="20">
        <f t="shared" si="31"/>
        <v>4140000</v>
      </c>
      <c r="T128" s="20">
        <f t="shared" si="31"/>
        <v>-600000</v>
      </c>
    </row>
    <row r="129" spans="1:35" s="1" customFormat="1" ht="12">
      <c r="A129" s="82" t="s">
        <v>53</v>
      </c>
      <c r="B129" s="95" t="s">
        <v>285</v>
      </c>
      <c r="C129" s="175" t="s">
        <v>0</v>
      </c>
      <c r="D129" s="175"/>
      <c r="E129" s="20">
        <f t="shared" ref="E129:T131" si="32">E102</f>
        <v>0</v>
      </c>
      <c r="F129" s="20">
        <f t="shared" si="32"/>
        <v>0</v>
      </c>
      <c r="G129" s="20">
        <f t="shared" si="32"/>
        <v>21760000</v>
      </c>
      <c r="H129" s="20">
        <f t="shared" si="32"/>
        <v>0</v>
      </c>
      <c r="I129" s="20">
        <f t="shared" si="32"/>
        <v>0</v>
      </c>
      <c r="J129" s="20">
        <f t="shared" si="32"/>
        <v>600000</v>
      </c>
      <c r="K129" s="20">
        <f t="shared" si="32"/>
        <v>0</v>
      </c>
      <c r="L129" s="20">
        <f t="shared" si="32"/>
        <v>-600000</v>
      </c>
      <c r="M129" s="20">
        <f t="shared" si="32"/>
        <v>0</v>
      </c>
      <c r="N129" s="20">
        <f t="shared" si="32"/>
        <v>-4200000</v>
      </c>
      <c r="O129" s="20">
        <f t="shared" si="32"/>
        <v>5370000</v>
      </c>
      <c r="P129" s="20">
        <f t="shared" si="32"/>
        <v>0</v>
      </c>
      <c r="Q129" s="20">
        <f t="shared" si="32"/>
        <v>3040000</v>
      </c>
      <c r="R129" s="20">
        <f t="shared" si="32"/>
        <v>0</v>
      </c>
      <c r="S129" s="20">
        <f t="shared" si="32"/>
        <v>4140000</v>
      </c>
      <c r="T129" s="20">
        <f t="shared" si="32"/>
        <v>-600000</v>
      </c>
    </row>
    <row r="130" spans="1:35" s="1" customFormat="1" ht="12">
      <c r="A130" s="82" t="s">
        <v>54</v>
      </c>
      <c r="B130" s="95" t="s">
        <v>286</v>
      </c>
      <c r="C130" s="175" t="s">
        <v>0</v>
      </c>
      <c r="D130" s="175"/>
      <c r="E130" s="20">
        <f t="shared" si="32"/>
        <v>0</v>
      </c>
      <c r="F130" s="20">
        <f t="shared" si="32"/>
        <v>0</v>
      </c>
      <c r="G130" s="20">
        <f t="shared" si="32"/>
        <v>1050000</v>
      </c>
      <c r="H130" s="20">
        <f t="shared" si="32"/>
        <v>0</v>
      </c>
      <c r="I130" s="20">
        <f t="shared" si="32"/>
        <v>0</v>
      </c>
      <c r="J130" s="20">
        <f t="shared" si="32"/>
        <v>0</v>
      </c>
      <c r="K130" s="20">
        <f t="shared" si="32"/>
        <v>0</v>
      </c>
      <c r="L130" s="20">
        <f t="shared" si="32"/>
        <v>0</v>
      </c>
      <c r="M130" s="20">
        <f t="shared" si="32"/>
        <v>0</v>
      </c>
      <c r="N130" s="20">
        <f t="shared" si="32"/>
        <v>0</v>
      </c>
      <c r="O130" s="20">
        <f t="shared" si="32"/>
        <v>0</v>
      </c>
      <c r="P130" s="20">
        <f t="shared" si="32"/>
        <v>0</v>
      </c>
      <c r="Q130" s="20">
        <f t="shared" si="32"/>
        <v>0</v>
      </c>
      <c r="R130" s="20">
        <f t="shared" si="32"/>
        <v>0</v>
      </c>
      <c r="S130" s="20">
        <f t="shared" si="32"/>
        <v>0</v>
      </c>
      <c r="T130" s="20">
        <f t="shared" si="32"/>
        <v>0</v>
      </c>
    </row>
    <row r="131" spans="1:35" s="1" customFormat="1" ht="12">
      <c r="A131" s="82" t="s">
        <v>60</v>
      </c>
      <c r="B131" s="95" t="s">
        <v>287</v>
      </c>
      <c r="C131" s="175" t="s">
        <v>0</v>
      </c>
      <c r="D131" s="175"/>
      <c r="E131" s="20">
        <f t="shared" si="32"/>
        <v>0</v>
      </c>
      <c r="F131" s="20">
        <f t="shared" si="32"/>
        <v>0</v>
      </c>
      <c r="G131" s="20">
        <f t="shared" si="32"/>
        <v>0</v>
      </c>
      <c r="H131" s="20">
        <f t="shared" si="32"/>
        <v>0</v>
      </c>
      <c r="I131" s="20">
        <f t="shared" si="32"/>
        <v>0</v>
      </c>
      <c r="J131" s="20">
        <f t="shared" si="32"/>
        <v>150000</v>
      </c>
      <c r="K131" s="20">
        <f t="shared" si="32"/>
        <v>0</v>
      </c>
      <c r="L131" s="20">
        <f t="shared" si="32"/>
        <v>0</v>
      </c>
      <c r="M131" s="20">
        <f t="shared" si="32"/>
        <v>0</v>
      </c>
      <c r="N131" s="20">
        <f t="shared" si="32"/>
        <v>750000</v>
      </c>
      <c r="O131" s="20">
        <f t="shared" si="32"/>
        <v>0</v>
      </c>
      <c r="P131" s="20">
        <f t="shared" si="32"/>
        <v>0</v>
      </c>
      <c r="Q131" s="20">
        <f t="shared" si="32"/>
        <v>-150000</v>
      </c>
      <c r="R131" s="20">
        <f t="shared" si="32"/>
        <v>0</v>
      </c>
      <c r="S131" s="20">
        <f t="shared" si="32"/>
        <v>0</v>
      </c>
      <c r="T131" s="20">
        <f t="shared" si="32"/>
        <v>0</v>
      </c>
    </row>
    <row r="132" spans="1:35" s="11" customFormat="1" ht="12">
      <c r="A132" s="37" t="s">
        <v>29</v>
      </c>
      <c r="B132" s="101" t="s">
        <v>85</v>
      </c>
      <c r="C132" s="253" t="s">
        <v>0</v>
      </c>
      <c r="D132" s="253"/>
      <c r="E132" s="19">
        <f t="shared" ref="E132:T132" si="33">E123-E126</f>
        <v>73552.462792251259</v>
      </c>
      <c r="F132" s="19">
        <f t="shared" si="33"/>
        <v>72789.654442760162</v>
      </c>
      <c r="G132" s="19">
        <f t="shared" si="33"/>
        <v>-22695266.635083929</v>
      </c>
      <c r="H132" s="19">
        <f t="shared" si="33"/>
        <v>82741.405972735025</v>
      </c>
      <c r="I132" s="19">
        <f t="shared" si="33"/>
        <v>87413.727824751288</v>
      </c>
      <c r="J132" s="19">
        <f t="shared" si="33"/>
        <v>-657913.95032323059</v>
      </c>
      <c r="K132" s="19">
        <f t="shared" si="33"/>
        <v>124676.34160413779</v>
      </c>
      <c r="L132" s="19">
        <f t="shared" si="33"/>
        <v>705932.56360682286</v>
      </c>
      <c r="M132" s="19">
        <f t="shared" si="33"/>
        <v>110876.68782643136</v>
      </c>
      <c r="N132" s="19">
        <f t="shared" si="33"/>
        <v>3366222.0902926661</v>
      </c>
      <c r="O132" s="19">
        <f t="shared" si="33"/>
        <v>-5448833.7854877254</v>
      </c>
      <c r="P132" s="19">
        <f t="shared" si="33"/>
        <v>65313.064913950861</v>
      </c>
      <c r="Q132" s="19">
        <f t="shared" si="33"/>
        <v>-2878553.148525916</v>
      </c>
      <c r="R132" s="19">
        <f t="shared" si="33"/>
        <v>70391.279171250761</v>
      </c>
      <c r="S132" s="19">
        <f t="shared" si="33"/>
        <v>-4064664.5966091426</v>
      </c>
      <c r="T132" s="19">
        <f t="shared" si="33"/>
        <v>1347270.8736869739</v>
      </c>
    </row>
    <row r="133" spans="1:35" s="1" customFormat="1" ht="12">
      <c r="A133" s="82" t="s">
        <v>30</v>
      </c>
      <c r="B133" s="95" t="s">
        <v>86</v>
      </c>
      <c r="C133" s="175" t="s">
        <v>88</v>
      </c>
      <c r="D133" s="175"/>
      <c r="E133" s="29">
        <v>1</v>
      </c>
      <c r="F133" s="29">
        <f t="shared" ref="F133:T133" si="34">(1/(1+F134)^F122)</f>
        <v>0.96153846153846145</v>
      </c>
      <c r="G133" s="29">
        <f t="shared" si="34"/>
        <v>0.92455621301775137</v>
      </c>
      <c r="H133" s="29">
        <f t="shared" si="34"/>
        <v>0.88899635867091487</v>
      </c>
      <c r="I133" s="29">
        <f t="shared" si="34"/>
        <v>0.85480419102972571</v>
      </c>
      <c r="J133" s="29">
        <f t="shared" si="34"/>
        <v>0.82192710675935154</v>
      </c>
      <c r="K133" s="29">
        <f t="shared" si="34"/>
        <v>0.79031452573014571</v>
      </c>
      <c r="L133" s="29">
        <f t="shared" si="34"/>
        <v>0.75991781320206331</v>
      </c>
      <c r="M133" s="29">
        <f t="shared" si="34"/>
        <v>0.73069020500198378</v>
      </c>
      <c r="N133" s="29">
        <f t="shared" si="34"/>
        <v>0.70258673557883045</v>
      </c>
      <c r="O133" s="29">
        <f t="shared" si="34"/>
        <v>0.67556416882579851</v>
      </c>
      <c r="P133" s="29">
        <f t="shared" si="34"/>
        <v>0.6495809315632679</v>
      </c>
      <c r="Q133" s="29">
        <f t="shared" si="34"/>
        <v>0.62459704958006512</v>
      </c>
      <c r="R133" s="29">
        <f t="shared" si="34"/>
        <v>0.600574086134678</v>
      </c>
      <c r="S133" s="29">
        <f t="shared" si="34"/>
        <v>0.57747508282180582</v>
      </c>
      <c r="T133" s="29">
        <f t="shared" si="34"/>
        <v>0.55526450271327477</v>
      </c>
    </row>
    <row r="134" spans="1:35" s="1" customFormat="1" ht="12">
      <c r="A134" s="82" t="s">
        <v>87</v>
      </c>
      <c r="B134" s="95" t="s">
        <v>4</v>
      </c>
      <c r="C134" s="175" t="s">
        <v>1</v>
      </c>
      <c r="D134" s="175"/>
      <c r="E134" s="30">
        <f>Założenia!E16</f>
        <v>0.04</v>
      </c>
      <c r="F134" s="30">
        <f>Założenia!F16</f>
        <v>0.04</v>
      </c>
      <c r="G134" s="30">
        <f>Założenia!G16</f>
        <v>0.04</v>
      </c>
      <c r="H134" s="30">
        <f>Założenia!H16</f>
        <v>0.04</v>
      </c>
      <c r="I134" s="30">
        <f>Założenia!I16</f>
        <v>0.04</v>
      </c>
      <c r="J134" s="30">
        <f>Założenia!J16</f>
        <v>0.04</v>
      </c>
      <c r="K134" s="30">
        <f>Założenia!G16</f>
        <v>0.04</v>
      </c>
      <c r="L134" s="30">
        <f>Założenia!L16</f>
        <v>0.04</v>
      </c>
      <c r="M134" s="30">
        <f>Założenia!M16</f>
        <v>0.04</v>
      </c>
      <c r="N134" s="30">
        <f>Założenia!N16</f>
        <v>0.04</v>
      </c>
      <c r="O134" s="30">
        <f>Założenia!O16</f>
        <v>0.04</v>
      </c>
      <c r="P134" s="30">
        <f>Założenia!P16</f>
        <v>0.04</v>
      </c>
      <c r="Q134" s="30">
        <f>Założenia!Q16</f>
        <v>0.04</v>
      </c>
      <c r="R134" s="30">
        <f>Założenia!R16</f>
        <v>0.04</v>
      </c>
      <c r="S134" s="30">
        <f>Założenia!S16</f>
        <v>0.04</v>
      </c>
      <c r="T134" s="30">
        <f>Założenia!T16</f>
        <v>0.04</v>
      </c>
    </row>
    <row r="135" spans="1:35" s="11" customFormat="1" ht="12">
      <c r="A135" s="37" t="s">
        <v>31</v>
      </c>
      <c r="B135" s="101" t="s">
        <v>173</v>
      </c>
      <c r="C135" s="253" t="s">
        <v>0</v>
      </c>
      <c r="D135" s="253"/>
      <c r="E135" s="99">
        <f>E132*E133</f>
        <v>73552.462792251259</v>
      </c>
      <c r="F135" s="99">
        <f t="shared" ref="F135:T135" si="35">F132*F133</f>
        <v>69990.052348807847</v>
      </c>
      <c r="G135" s="99">
        <f t="shared" si="35"/>
        <v>-20983049.773561321</v>
      </c>
      <c r="H135" s="99">
        <f t="shared" si="35"/>
        <v>73556.808621073331</v>
      </c>
      <c r="I135" s="99">
        <f t="shared" si="35"/>
        <v>74721.620898129157</v>
      </c>
      <c r="J135" s="99">
        <f t="shared" si="35"/>
        <v>-540757.3096857887</v>
      </c>
      <c r="K135" s="99">
        <f t="shared" si="35"/>
        <v>98533.523784643796</v>
      </c>
      <c r="L135" s="99">
        <f t="shared" si="35"/>
        <v>536450.7300042233</v>
      </c>
      <c r="M135" s="99">
        <f t="shared" si="35"/>
        <v>81016.509757836087</v>
      </c>
      <c r="N135" s="99">
        <f t="shared" si="35"/>
        <v>2365062.9896520711</v>
      </c>
      <c r="O135" s="99">
        <f t="shared" si="35"/>
        <v>-3681036.8673629444</v>
      </c>
      <c r="P135" s="99">
        <f t="shared" si="35"/>
        <v>42426.121550056385</v>
      </c>
      <c r="Q135" s="99">
        <f t="shared" si="35"/>
        <v>-1797935.803628694</v>
      </c>
      <c r="R135" s="99">
        <f t="shared" si="35"/>
        <v>42275.178160124917</v>
      </c>
      <c r="S135" s="99">
        <f t="shared" si="35"/>
        <v>-2347242.5245697265</v>
      </c>
      <c r="T135" s="99">
        <f t="shared" si="35"/>
        <v>748091.69169787678</v>
      </c>
    </row>
    <row r="136" spans="1:35" s="28" customFormat="1" ht="12">
      <c r="A136" s="37" t="s">
        <v>35</v>
      </c>
      <c r="B136" s="100" t="s">
        <v>81</v>
      </c>
      <c r="C136" s="175" t="s">
        <v>0</v>
      </c>
      <c r="D136" s="175"/>
      <c r="E136" s="277">
        <f>SUM(E135:T135)</f>
        <v>-25144344.589541379</v>
      </c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1"/>
    </row>
    <row r="137" spans="1:35" s="28" customFormat="1" ht="12">
      <c r="A137" s="37" t="s">
        <v>36</v>
      </c>
      <c r="B137" s="100" t="s">
        <v>82</v>
      </c>
      <c r="C137" s="175" t="s">
        <v>1</v>
      </c>
      <c r="D137" s="175"/>
      <c r="E137" s="278">
        <f>IRR(E132:T132)</f>
        <v>16.076057749715606</v>
      </c>
      <c r="F137" s="411" t="s">
        <v>386</v>
      </c>
      <c r="G137" s="279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1"/>
    </row>
    <row r="138" spans="1:35" s="28" customFormat="1" ht="12">
      <c r="A138" s="37"/>
      <c r="B138" s="105"/>
      <c r="C138" s="71"/>
      <c r="D138" s="71"/>
      <c r="E138" s="280"/>
      <c r="F138" s="172"/>
      <c r="G138" s="279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1"/>
    </row>
    <row r="139" spans="1:35" s="1" customFormat="1" ht="12">
      <c r="A139" s="82"/>
      <c r="B139" s="158"/>
      <c r="C139" s="272"/>
      <c r="D139" s="273"/>
      <c r="E139" s="274">
        <v>1</v>
      </c>
      <c r="F139" s="274">
        <f>E139+1</f>
        <v>2</v>
      </c>
      <c r="G139" s="274">
        <f t="shared" ref="G139:U140" si="36">F139+1</f>
        <v>3</v>
      </c>
      <c r="H139" s="274">
        <f t="shared" si="36"/>
        <v>4</v>
      </c>
      <c r="I139" s="274">
        <f t="shared" si="36"/>
        <v>5</v>
      </c>
      <c r="J139" s="274">
        <f t="shared" si="36"/>
        <v>6</v>
      </c>
      <c r="K139" s="274">
        <f t="shared" si="36"/>
        <v>7</v>
      </c>
      <c r="L139" s="274">
        <f t="shared" si="36"/>
        <v>8</v>
      </c>
      <c r="M139" s="274">
        <f t="shared" si="36"/>
        <v>9</v>
      </c>
      <c r="N139" s="274">
        <f t="shared" si="36"/>
        <v>10</v>
      </c>
      <c r="O139" s="274">
        <f t="shared" si="36"/>
        <v>11</v>
      </c>
      <c r="P139" s="274">
        <f t="shared" si="36"/>
        <v>12</v>
      </c>
      <c r="Q139" s="274">
        <f t="shared" si="36"/>
        <v>13</v>
      </c>
      <c r="R139" s="274">
        <f t="shared" si="36"/>
        <v>14</v>
      </c>
      <c r="S139" s="274">
        <f t="shared" si="36"/>
        <v>15</v>
      </c>
      <c r="T139" s="274">
        <f t="shared" si="36"/>
        <v>16</v>
      </c>
      <c r="U139" s="274">
        <f t="shared" si="36"/>
        <v>17</v>
      </c>
      <c r="V139" s="159"/>
      <c r="W139" s="159"/>
      <c r="X139" s="159"/>
      <c r="Y139" s="159"/>
      <c r="Z139" s="159"/>
      <c r="AA139" s="159"/>
      <c r="AB139" s="159"/>
      <c r="AC139" s="159"/>
      <c r="AD139" s="159"/>
      <c r="AE139" s="159"/>
      <c r="AF139" s="159"/>
      <c r="AG139" s="159"/>
      <c r="AH139" s="159"/>
      <c r="AI139" s="159"/>
    </row>
    <row r="140" spans="1:35" s="1" customFormat="1">
      <c r="A140" s="227" t="s">
        <v>252</v>
      </c>
      <c r="B140" s="81" t="s">
        <v>357</v>
      </c>
      <c r="C140" s="272"/>
      <c r="D140" s="273"/>
      <c r="E140" s="250">
        <f>T5+1</f>
        <v>2040</v>
      </c>
      <c r="F140" s="250">
        <f>E140+1</f>
        <v>2041</v>
      </c>
      <c r="G140" s="250">
        <f t="shared" si="36"/>
        <v>2042</v>
      </c>
      <c r="H140" s="250">
        <f t="shared" si="36"/>
        <v>2043</v>
      </c>
      <c r="I140" s="250">
        <f t="shared" si="36"/>
        <v>2044</v>
      </c>
      <c r="J140" s="250">
        <f t="shared" si="36"/>
        <v>2045</v>
      </c>
      <c r="K140" s="250">
        <f t="shared" si="36"/>
        <v>2046</v>
      </c>
      <c r="L140" s="250">
        <f t="shared" si="36"/>
        <v>2047</v>
      </c>
      <c r="M140" s="250">
        <f t="shared" si="36"/>
        <v>2048</v>
      </c>
      <c r="N140" s="250">
        <f t="shared" si="36"/>
        <v>2049</v>
      </c>
      <c r="O140" s="250">
        <f t="shared" si="36"/>
        <v>2050</v>
      </c>
      <c r="P140" s="250">
        <f t="shared" si="36"/>
        <v>2051</v>
      </c>
      <c r="Q140" s="250">
        <f t="shared" si="36"/>
        <v>2052</v>
      </c>
      <c r="R140" s="250">
        <f t="shared" si="36"/>
        <v>2053</v>
      </c>
      <c r="S140" s="250">
        <f t="shared" si="36"/>
        <v>2054</v>
      </c>
      <c r="T140" s="250">
        <f t="shared" si="36"/>
        <v>2055</v>
      </c>
      <c r="U140" s="250">
        <f t="shared" si="36"/>
        <v>2056</v>
      </c>
      <c r="V140" s="148"/>
      <c r="W140" s="148"/>
      <c r="X140" s="148"/>
      <c r="Y140" s="148"/>
      <c r="Z140" s="148"/>
      <c r="AA140" s="148"/>
      <c r="AB140" s="148"/>
      <c r="AC140" s="148"/>
      <c r="AD140" s="148"/>
      <c r="AE140" s="148"/>
      <c r="AF140" s="148"/>
      <c r="AG140" s="148"/>
      <c r="AH140" s="148"/>
      <c r="AI140" s="148"/>
    </row>
    <row r="141" spans="1:35" s="1" customFormat="1" ht="12">
      <c r="A141" s="82" t="s">
        <v>33</v>
      </c>
      <c r="B141" s="97" t="s">
        <v>168</v>
      </c>
      <c r="C141" s="253" t="s">
        <v>147</v>
      </c>
      <c r="D141" s="275">
        <f>Założenia!$E$6</f>
        <v>2024</v>
      </c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</row>
    <row r="142" spans="1:35" s="1" customFormat="1" ht="12">
      <c r="A142" s="82" t="s">
        <v>34</v>
      </c>
      <c r="B142" s="97" t="s">
        <v>169</v>
      </c>
      <c r="C142" s="253" t="s">
        <v>147</v>
      </c>
      <c r="D142" s="275">
        <f>Założenia!$E$8</f>
        <v>2039</v>
      </c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</row>
    <row r="143" spans="1:35" s="1" customFormat="1" ht="12">
      <c r="A143" s="82" t="s">
        <v>29</v>
      </c>
      <c r="B143" s="97" t="s">
        <v>3</v>
      </c>
      <c r="C143" s="253" t="s">
        <v>27</v>
      </c>
      <c r="D143" s="252">
        <f>Założenia!$E$9</f>
        <v>15</v>
      </c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</row>
    <row r="144" spans="1:35" s="1" customFormat="1" ht="12">
      <c r="A144" s="82" t="s">
        <v>36</v>
      </c>
      <c r="B144" s="134" t="s">
        <v>171</v>
      </c>
      <c r="C144" s="253" t="s">
        <v>27</v>
      </c>
      <c r="D144" s="254">
        <f>D116</f>
        <v>14</v>
      </c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</row>
    <row r="145" spans="1:35" s="1" customFormat="1" ht="12">
      <c r="A145" s="82" t="s">
        <v>37</v>
      </c>
      <c r="B145" s="134" t="s">
        <v>176</v>
      </c>
      <c r="C145" s="253" t="s">
        <v>0</v>
      </c>
      <c r="D145" s="254"/>
      <c r="E145" s="20">
        <f>IF(E148&gt;0,($T$165-$T$162-AVERAGE($E$154:$T$154)),0)</f>
        <v>324907.86942053749</v>
      </c>
      <c r="F145" s="20">
        <f t="shared" ref="F145:T145" si="37">IF(F148&gt;0,($T$165-$T$162-AVERAGE($E$154:$T$154)),0)</f>
        <v>324907.86942053749</v>
      </c>
      <c r="G145" s="20">
        <f t="shared" si="37"/>
        <v>324907.86942053749</v>
      </c>
      <c r="H145" s="20">
        <f t="shared" si="37"/>
        <v>324907.86942053749</v>
      </c>
      <c r="I145" s="20">
        <f t="shared" si="37"/>
        <v>324907.86942053749</v>
      </c>
      <c r="J145" s="20">
        <f t="shared" si="37"/>
        <v>324907.86942053749</v>
      </c>
      <c r="K145" s="20">
        <f t="shared" si="37"/>
        <v>324907.86942053749</v>
      </c>
      <c r="L145" s="20">
        <f t="shared" si="37"/>
        <v>324907.86942053749</v>
      </c>
      <c r="M145" s="20">
        <f t="shared" si="37"/>
        <v>324907.86942053749</v>
      </c>
      <c r="N145" s="20">
        <f t="shared" si="37"/>
        <v>324907.86942053749</v>
      </c>
      <c r="O145" s="20">
        <f t="shared" si="37"/>
        <v>324907.86942053749</v>
      </c>
      <c r="P145" s="20">
        <f t="shared" si="37"/>
        <v>324907.86942053749</v>
      </c>
      <c r="Q145" s="20">
        <f t="shared" si="37"/>
        <v>324907.86942053749</v>
      </c>
      <c r="R145" s="20">
        <f t="shared" si="37"/>
        <v>324907.86942053749</v>
      </c>
      <c r="S145" s="20">
        <f t="shared" si="37"/>
        <v>0</v>
      </c>
      <c r="T145" s="20">
        <f t="shared" si="37"/>
        <v>0</v>
      </c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</row>
    <row r="146" spans="1:35" s="1" customFormat="1" ht="12">
      <c r="A146" s="82" t="s">
        <v>38</v>
      </c>
      <c r="B146" s="134" t="s">
        <v>175</v>
      </c>
      <c r="C146" s="253" t="s">
        <v>0</v>
      </c>
      <c r="D146" s="254"/>
      <c r="E146" s="20">
        <f>E145/(1+Założenia!$E$17)^E139</f>
        <v>315444.53341799753</v>
      </c>
      <c r="F146" s="20">
        <f>F145/(1+Założenia!$E$17)^F139</f>
        <v>306256.82856116269</v>
      </c>
      <c r="G146" s="20">
        <f>G145/(1+Założenia!$E$17)^G139</f>
        <v>297336.7267584104</v>
      </c>
      <c r="H146" s="20">
        <f>H145/(1+Założenia!$E$17)^H139</f>
        <v>288676.43374602951</v>
      </c>
      <c r="I146" s="20">
        <f>I145/(1+Założenia!$E$17)^I139</f>
        <v>280268.38227769855</v>
      </c>
      <c r="J146" s="20">
        <f>J145/(1+Założenia!$E$17)^J139</f>
        <v>272105.22551232867</v>
      </c>
      <c r="K146" s="20">
        <f>K145/(1+Założenia!$E$17)^K139</f>
        <v>264179.83059449383</v>
      </c>
      <c r="L146" s="20">
        <f>L145/(1+Założenia!$E$17)^L139</f>
        <v>256485.27242183872</v>
      </c>
      <c r="M146" s="20">
        <f>M145/(1+Założenia!$E$17)^M139</f>
        <v>249014.82759401816</v>
      </c>
      <c r="N146" s="20">
        <f>N145/(1+Założenia!$E$17)^N139</f>
        <v>241761.96853788174</v>
      </c>
      <c r="O146" s="20">
        <f>O145/(1+Założenia!$E$17)^O139</f>
        <v>234720.35780376865</v>
      </c>
      <c r="P146" s="20">
        <f>P145/(1+Założenia!$E$17)^P139</f>
        <v>227883.84252793077</v>
      </c>
      <c r="Q146" s="20">
        <f>Q145/(1+Założenia!$E$17)^Q139</f>
        <v>221246.44905624347</v>
      </c>
      <c r="R146" s="20">
        <f>R145/(1+Założenia!$E$17)^R139</f>
        <v>214802.3777245082</v>
      </c>
      <c r="S146" s="20">
        <f>S145/(1+Założenia!$E$17)^S139</f>
        <v>0</v>
      </c>
      <c r="T146" s="20">
        <f>T145/(1+Założenia!$E$17)^T139</f>
        <v>0</v>
      </c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</row>
    <row r="147" spans="1:35" s="1" customFormat="1" ht="12">
      <c r="A147" s="82" t="s">
        <v>39</v>
      </c>
      <c r="B147" s="134" t="s">
        <v>52</v>
      </c>
      <c r="C147" s="281" t="s">
        <v>0</v>
      </c>
      <c r="D147" s="282">
        <f>SUM(E146:AH146)</f>
        <v>3670183.0565343103</v>
      </c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</row>
    <row r="148" spans="1:35" s="28" customFormat="1" ht="12">
      <c r="A148" s="37"/>
      <c r="B148" s="105"/>
      <c r="C148" s="283"/>
      <c r="D148" s="284">
        <v>14</v>
      </c>
      <c r="E148" s="285">
        <f>D148</f>
        <v>14</v>
      </c>
      <c r="F148" s="285">
        <f>IF(E148-1&gt;0,E148-1,0)</f>
        <v>13</v>
      </c>
      <c r="G148" s="285">
        <f>IF(F148-1&gt;0,F148-1,0)</f>
        <v>12</v>
      </c>
      <c r="H148" s="285">
        <f t="shared" ref="H148:T148" si="38">IF(G148-1&gt;0,G148-1,0)</f>
        <v>11</v>
      </c>
      <c r="I148" s="285">
        <f t="shared" si="38"/>
        <v>10</v>
      </c>
      <c r="J148" s="285">
        <f t="shared" si="38"/>
        <v>9</v>
      </c>
      <c r="K148" s="285">
        <f t="shared" si="38"/>
        <v>8</v>
      </c>
      <c r="L148" s="285">
        <f t="shared" si="38"/>
        <v>7</v>
      </c>
      <c r="M148" s="285">
        <f t="shared" si="38"/>
        <v>6</v>
      </c>
      <c r="N148" s="285">
        <f t="shared" si="38"/>
        <v>5</v>
      </c>
      <c r="O148" s="285">
        <f t="shared" si="38"/>
        <v>4</v>
      </c>
      <c r="P148" s="285">
        <f t="shared" si="38"/>
        <v>3</v>
      </c>
      <c r="Q148" s="285">
        <f t="shared" si="38"/>
        <v>2</v>
      </c>
      <c r="R148" s="285">
        <f t="shared" si="38"/>
        <v>1</v>
      </c>
      <c r="S148" s="285">
        <f t="shared" si="38"/>
        <v>0</v>
      </c>
      <c r="T148" s="285">
        <f t="shared" si="38"/>
        <v>0</v>
      </c>
      <c r="U148" s="11"/>
    </row>
    <row r="149" spans="1:35" s="28" customFormat="1" ht="12">
      <c r="A149" s="37"/>
      <c r="B149" s="105"/>
      <c r="C149" s="71"/>
      <c r="D149" s="71"/>
      <c r="E149" s="280"/>
      <c r="F149" s="172"/>
      <c r="G149" s="279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1"/>
    </row>
    <row r="150" spans="1:35" s="1" customFormat="1" ht="12">
      <c r="A150" s="227" t="s">
        <v>253</v>
      </c>
      <c r="B150" s="81" t="s">
        <v>246</v>
      </c>
      <c r="E150" s="274">
        <v>0</v>
      </c>
      <c r="F150" s="274">
        <f>E150+1</f>
        <v>1</v>
      </c>
      <c r="G150" s="274">
        <f t="shared" ref="G150:T150" si="39">F150+1</f>
        <v>2</v>
      </c>
      <c r="H150" s="274">
        <f t="shared" si="39"/>
        <v>3</v>
      </c>
      <c r="I150" s="274">
        <f t="shared" si="39"/>
        <v>4</v>
      </c>
      <c r="J150" s="274">
        <f t="shared" si="39"/>
        <v>5</v>
      </c>
      <c r="K150" s="274">
        <f t="shared" si="39"/>
        <v>6</v>
      </c>
      <c r="L150" s="274">
        <f t="shared" si="39"/>
        <v>7</v>
      </c>
      <c r="M150" s="274">
        <f t="shared" si="39"/>
        <v>8</v>
      </c>
      <c r="N150" s="274">
        <f t="shared" si="39"/>
        <v>9</v>
      </c>
      <c r="O150" s="274">
        <f t="shared" si="39"/>
        <v>10</v>
      </c>
      <c r="P150" s="274">
        <f t="shared" si="39"/>
        <v>11</v>
      </c>
      <c r="Q150" s="274">
        <f t="shared" si="39"/>
        <v>12</v>
      </c>
      <c r="R150" s="274">
        <f t="shared" si="39"/>
        <v>13</v>
      </c>
      <c r="S150" s="274">
        <f t="shared" si="39"/>
        <v>14</v>
      </c>
      <c r="T150" s="274">
        <f t="shared" si="39"/>
        <v>15</v>
      </c>
    </row>
    <row r="151" spans="1:35" s="23" customFormat="1">
      <c r="A151" s="37" t="s">
        <v>33</v>
      </c>
      <c r="B151" s="101" t="s">
        <v>90</v>
      </c>
      <c r="C151" s="253" t="s">
        <v>0</v>
      </c>
      <c r="D151" s="253"/>
      <c r="E151" s="33">
        <f>E152+E153+E154+E155</f>
        <v>-73552.462792251259</v>
      </c>
      <c r="F151" s="33">
        <f t="shared" ref="F151:T151" si="40">F152+F153+F154+F155</f>
        <v>-72789.654442760162</v>
      </c>
      <c r="G151" s="33">
        <f t="shared" si="40"/>
        <v>22695266.635083929</v>
      </c>
      <c r="H151" s="33">
        <f t="shared" si="40"/>
        <v>-82741.405972735025</v>
      </c>
      <c r="I151" s="33">
        <f t="shared" si="40"/>
        <v>-87413.727824751288</v>
      </c>
      <c r="J151" s="33">
        <f t="shared" si="40"/>
        <v>657913.95032323059</v>
      </c>
      <c r="K151" s="33">
        <f t="shared" si="40"/>
        <v>-124676.34160413779</v>
      </c>
      <c r="L151" s="33">
        <f t="shared" si="40"/>
        <v>-705932.56360682286</v>
      </c>
      <c r="M151" s="33">
        <f t="shared" si="40"/>
        <v>-110876.68782643136</v>
      </c>
      <c r="N151" s="33">
        <f t="shared" si="40"/>
        <v>-3366222.0902926661</v>
      </c>
      <c r="O151" s="33">
        <f t="shared" si="40"/>
        <v>5448833.7854877254</v>
      </c>
      <c r="P151" s="33">
        <f t="shared" si="40"/>
        <v>-65313.064913950861</v>
      </c>
      <c r="Q151" s="33">
        <f t="shared" si="40"/>
        <v>2878553.148525916</v>
      </c>
      <c r="R151" s="33">
        <f t="shared" si="40"/>
        <v>-70391.279171250761</v>
      </c>
      <c r="S151" s="33">
        <f t="shared" si="40"/>
        <v>4064664.5966091426</v>
      </c>
      <c r="T151" s="33">
        <f t="shared" si="40"/>
        <v>2962736.5415586415</v>
      </c>
      <c r="U151" s="11"/>
    </row>
    <row r="152" spans="1:35" s="1" customFormat="1" ht="12">
      <c r="A152" s="82" t="s">
        <v>42</v>
      </c>
      <c r="B152" s="95" t="s">
        <v>32</v>
      </c>
      <c r="C152" s="175" t="s">
        <v>0</v>
      </c>
      <c r="D152" s="175"/>
      <c r="E152" s="20">
        <f t="shared" ref="E152:T152" si="41">E101</f>
        <v>0</v>
      </c>
      <c r="F152" s="20">
        <f t="shared" si="41"/>
        <v>0</v>
      </c>
      <c r="G152" s="20">
        <f t="shared" si="41"/>
        <v>22810000</v>
      </c>
      <c r="H152" s="20">
        <f t="shared" si="41"/>
        <v>0</v>
      </c>
      <c r="I152" s="20">
        <f t="shared" si="41"/>
        <v>0</v>
      </c>
      <c r="J152" s="20">
        <f t="shared" si="41"/>
        <v>600000</v>
      </c>
      <c r="K152" s="20">
        <f t="shared" si="41"/>
        <v>0</v>
      </c>
      <c r="L152" s="20">
        <f t="shared" si="41"/>
        <v>-600000</v>
      </c>
      <c r="M152" s="20">
        <f t="shared" si="41"/>
        <v>0</v>
      </c>
      <c r="N152" s="20">
        <f t="shared" si="41"/>
        <v>-4200000</v>
      </c>
      <c r="O152" s="20">
        <f t="shared" si="41"/>
        <v>5370000</v>
      </c>
      <c r="P152" s="20">
        <f t="shared" si="41"/>
        <v>0</v>
      </c>
      <c r="Q152" s="20">
        <f t="shared" si="41"/>
        <v>3040000</v>
      </c>
      <c r="R152" s="20">
        <f t="shared" si="41"/>
        <v>0</v>
      </c>
      <c r="S152" s="20">
        <f t="shared" si="41"/>
        <v>4140000</v>
      </c>
      <c r="T152" s="20">
        <f t="shared" si="41"/>
        <v>-600000</v>
      </c>
    </row>
    <row r="153" spans="1:35" s="1" customFormat="1" ht="12">
      <c r="A153" s="82" t="s">
        <v>43</v>
      </c>
      <c r="B153" s="95" t="s">
        <v>91</v>
      </c>
      <c r="C153" s="175" t="s">
        <v>0</v>
      </c>
      <c r="D153" s="175"/>
      <c r="E153" s="20">
        <f t="shared" ref="E153:T153" si="42">E127</f>
        <v>-73552.462792251259</v>
      </c>
      <c r="F153" s="20">
        <f t="shared" si="42"/>
        <v>-72789.654442760162</v>
      </c>
      <c r="G153" s="20">
        <f t="shared" si="42"/>
        <v>-114733.36491607316</v>
      </c>
      <c r="H153" s="20">
        <f t="shared" si="42"/>
        <v>-82741.405972735025</v>
      </c>
      <c r="I153" s="20">
        <f t="shared" si="42"/>
        <v>-87413.727824751288</v>
      </c>
      <c r="J153" s="20">
        <f t="shared" si="42"/>
        <v>-92086.049676769413</v>
      </c>
      <c r="K153" s="20">
        <f t="shared" si="42"/>
        <v>-124676.34160413779</v>
      </c>
      <c r="L153" s="20">
        <f t="shared" si="42"/>
        <v>-105932.56360682286</v>
      </c>
      <c r="M153" s="20">
        <f t="shared" si="42"/>
        <v>-110876.68782643136</v>
      </c>
      <c r="N153" s="20">
        <f t="shared" si="42"/>
        <v>83777.909707333893</v>
      </c>
      <c r="O153" s="20">
        <f t="shared" si="42"/>
        <v>78833.785487725399</v>
      </c>
      <c r="P153" s="20">
        <f t="shared" si="42"/>
        <v>-65313.064913950861</v>
      </c>
      <c r="Q153" s="20">
        <f t="shared" si="42"/>
        <v>-11446.85147408396</v>
      </c>
      <c r="R153" s="20">
        <f t="shared" si="42"/>
        <v>-70391.279171250761</v>
      </c>
      <c r="S153" s="20">
        <f t="shared" si="42"/>
        <v>-75335.403390857391</v>
      </c>
      <c r="T153" s="20">
        <f t="shared" si="42"/>
        <v>-107446.51497566886</v>
      </c>
    </row>
    <row r="154" spans="1:35" s="1" customFormat="1" ht="12">
      <c r="A154" s="82" t="s">
        <v>44</v>
      </c>
      <c r="B154" s="95" t="s">
        <v>59</v>
      </c>
      <c r="C154" s="175" t="s">
        <v>0</v>
      </c>
      <c r="D154" s="175"/>
      <c r="E154" s="20">
        <f t="shared" ref="E154:T154" si="43">E104</f>
        <v>0</v>
      </c>
      <c r="F154" s="20">
        <f t="shared" si="43"/>
        <v>0</v>
      </c>
      <c r="G154" s="20">
        <f t="shared" si="43"/>
        <v>0</v>
      </c>
      <c r="H154" s="20">
        <f t="shared" si="43"/>
        <v>0</v>
      </c>
      <c r="I154" s="20">
        <f t="shared" si="43"/>
        <v>0</v>
      </c>
      <c r="J154" s="20">
        <f t="shared" si="43"/>
        <v>150000</v>
      </c>
      <c r="K154" s="20">
        <f t="shared" si="43"/>
        <v>0</v>
      </c>
      <c r="L154" s="20">
        <f t="shared" si="43"/>
        <v>0</v>
      </c>
      <c r="M154" s="20">
        <f t="shared" si="43"/>
        <v>0</v>
      </c>
      <c r="N154" s="20">
        <f t="shared" si="43"/>
        <v>750000</v>
      </c>
      <c r="O154" s="20">
        <f t="shared" si="43"/>
        <v>0</v>
      </c>
      <c r="P154" s="20">
        <f t="shared" si="43"/>
        <v>0</v>
      </c>
      <c r="Q154" s="20">
        <f t="shared" si="43"/>
        <v>-150000</v>
      </c>
      <c r="R154" s="20">
        <f t="shared" si="43"/>
        <v>0</v>
      </c>
      <c r="S154" s="20">
        <f t="shared" si="43"/>
        <v>0</v>
      </c>
      <c r="T154" s="20">
        <f t="shared" si="43"/>
        <v>0</v>
      </c>
    </row>
    <row r="155" spans="1:35" s="1" customFormat="1" ht="12">
      <c r="A155" s="82" t="s">
        <v>75</v>
      </c>
      <c r="B155" s="95" t="s">
        <v>52</v>
      </c>
      <c r="C155" s="175" t="s">
        <v>0</v>
      </c>
      <c r="D155" s="175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>
        <f>IF(D147&gt;0,D147,0)</f>
        <v>3670183.0565343103</v>
      </c>
    </row>
    <row r="156" spans="1:35" s="11" customFormat="1" ht="12">
      <c r="A156" s="37" t="s">
        <v>34</v>
      </c>
      <c r="B156" s="101" t="s">
        <v>92</v>
      </c>
      <c r="C156" s="253"/>
      <c r="D156" s="253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</row>
    <row r="157" spans="1:35" s="1" customFormat="1" ht="12">
      <c r="A157" s="82" t="s">
        <v>48</v>
      </c>
      <c r="B157" s="95" t="s">
        <v>189</v>
      </c>
      <c r="C157" s="175" t="s">
        <v>88</v>
      </c>
      <c r="D157" s="175"/>
      <c r="E157" s="32">
        <f>Założenia!$E$33</f>
        <v>0.83</v>
      </c>
      <c r="F157" s="32">
        <f>Założenia!$E$33</f>
        <v>0.83</v>
      </c>
      <c r="G157" s="32">
        <f>Założenia!$E$33</f>
        <v>0.83</v>
      </c>
      <c r="H157" s="32">
        <f>Założenia!$E$33</f>
        <v>0.83</v>
      </c>
      <c r="I157" s="32">
        <f>Założenia!$E$33</f>
        <v>0.83</v>
      </c>
      <c r="J157" s="32">
        <f>Założenia!$E$33</f>
        <v>0.83</v>
      </c>
      <c r="K157" s="32">
        <f>Założenia!$E$33</f>
        <v>0.83</v>
      </c>
      <c r="L157" s="32">
        <f>Założenia!$E$33</f>
        <v>0.83</v>
      </c>
      <c r="M157" s="32">
        <f>Założenia!$E$33</f>
        <v>0.83</v>
      </c>
      <c r="N157" s="32">
        <f>Założenia!$E$33</f>
        <v>0.83</v>
      </c>
      <c r="O157" s="32">
        <f>Założenia!$E$33</f>
        <v>0.83</v>
      </c>
      <c r="P157" s="32">
        <f>Założenia!$E$33</f>
        <v>0.83</v>
      </c>
      <c r="Q157" s="32">
        <f>Założenia!$E$33</f>
        <v>0.83</v>
      </c>
      <c r="R157" s="32">
        <f>Założenia!$E$33</f>
        <v>0.83</v>
      </c>
      <c r="S157" s="32">
        <f>Założenia!$E$33</f>
        <v>0.83</v>
      </c>
      <c r="T157" s="32">
        <f>Założenia!$E$33</f>
        <v>0.83</v>
      </c>
    </row>
    <row r="158" spans="1:35" s="1" customFormat="1" ht="12">
      <c r="A158" s="82" t="s">
        <v>49</v>
      </c>
      <c r="B158" s="95" t="s">
        <v>190</v>
      </c>
      <c r="C158" s="175"/>
      <c r="D158" s="175"/>
      <c r="E158" s="32">
        <f>Założenia!$E$34</f>
        <v>0.87</v>
      </c>
      <c r="F158" s="32">
        <f>Założenia!$E$34</f>
        <v>0.87</v>
      </c>
      <c r="G158" s="32">
        <f>Założenia!$E$34</f>
        <v>0.87</v>
      </c>
      <c r="H158" s="32">
        <f>Założenia!$E$34</f>
        <v>0.87</v>
      </c>
      <c r="I158" s="32">
        <f>Założenia!$E$34</f>
        <v>0.87</v>
      </c>
      <c r="J158" s="32">
        <f>Założenia!$E$34</f>
        <v>0.87</v>
      </c>
      <c r="K158" s="32">
        <f>Założenia!$E$34</f>
        <v>0.87</v>
      </c>
      <c r="L158" s="32">
        <f>Założenia!$E$34</f>
        <v>0.87</v>
      </c>
      <c r="M158" s="32">
        <f>Założenia!$E$34</f>
        <v>0.87</v>
      </c>
      <c r="N158" s="32">
        <f>Założenia!$E$34</f>
        <v>0.87</v>
      </c>
      <c r="O158" s="32">
        <f>Założenia!$E$34</f>
        <v>0.87</v>
      </c>
      <c r="P158" s="32">
        <f>Założenia!$E$34</f>
        <v>0.87</v>
      </c>
      <c r="Q158" s="32">
        <f>Założenia!$E$34</f>
        <v>0.87</v>
      </c>
      <c r="R158" s="32">
        <f>Założenia!$E$34</f>
        <v>0.87</v>
      </c>
      <c r="S158" s="32">
        <f>Założenia!$E$34</f>
        <v>0.87</v>
      </c>
      <c r="T158" s="32">
        <f>Założenia!$E$34</f>
        <v>0.87</v>
      </c>
    </row>
    <row r="159" spans="1:35" s="1" customFormat="1" ht="12">
      <c r="A159" s="82" t="s">
        <v>60</v>
      </c>
      <c r="B159" s="95" t="s">
        <v>93</v>
      </c>
      <c r="C159" s="175" t="s">
        <v>88</v>
      </c>
      <c r="D159" s="175"/>
      <c r="E159" s="32">
        <f>Założenia!$E$35</f>
        <v>0.78</v>
      </c>
      <c r="F159" s="32">
        <f>Założenia!$E$35</f>
        <v>0.78</v>
      </c>
      <c r="G159" s="32">
        <f>Założenia!$E$35</f>
        <v>0.78</v>
      </c>
      <c r="H159" s="32">
        <f>Założenia!$E$35</f>
        <v>0.78</v>
      </c>
      <c r="I159" s="32">
        <f>Założenia!$E$35</f>
        <v>0.78</v>
      </c>
      <c r="J159" s="32">
        <f>Założenia!$E$35</f>
        <v>0.78</v>
      </c>
      <c r="K159" s="32">
        <f>Założenia!$E$35</f>
        <v>0.78</v>
      </c>
      <c r="L159" s="32">
        <f>Założenia!$E$35</f>
        <v>0.78</v>
      </c>
      <c r="M159" s="32">
        <f>Założenia!$E$35</f>
        <v>0.78</v>
      </c>
      <c r="N159" s="32">
        <f>Założenia!$E$35</f>
        <v>0.78</v>
      </c>
      <c r="O159" s="32">
        <f>Założenia!$E$35</f>
        <v>0.78</v>
      </c>
      <c r="P159" s="32">
        <f>Założenia!$E$35</f>
        <v>0.78</v>
      </c>
      <c r="Q159" s="32">
        <f>Założenia!$E$35</f>
        <v>0.78</v>
      </c>
      <c r="R159" s="32">
        <f>Założenia!$E$35</f>
        <v>0.78</v>
      </c>
      <c r="S159" s="32">
        <f>Założenia!$E$35</f>
        <v>0.78</v>
      </c>
      <c r="T159" s="32">
        <f>Założenia!$E$35</f>
        <v>0.78</v>
      </c>
    </row>
    <row r="160" spans="1:35" s="1" customFormat="1" ht="12">
      <c r="A160" s="37" t="s">
        <v>29</v>
      </c>
      <c r="B160" s="101" t="s">
        <v>94</v>
      </c>
      <c r="C160" s="175" t="s">
        <v>0</v>
      </c>
      <c r="D160" s="175"/>
      <c r="E160" s="33">
        <f>E161+E162+E163+E164</f>
        <v>-57370.920977955982</v>
      </c>
      <c r="F160" s="33">
        <f t="shared" ref="F160:T160" si="44">F161+F162+F163+F164</f>
        <v>-56775.930465352925</v>
      </c>
      <c r="G160" s="33">
        <f t="shared" si="44"/>
        <v>19713207.975365464</v>
      </c>
      <c r="H160" s="33">
        <f t="shared" si="44"/>
        <v>-64538.296658733321</v>
      </c>
      <c r="I160" s="33">
        <f t="shared" si="44"/>
        <v>-68182.707703306005</v>
      </c>
      <c r="J160" s="33">
        <f t="shared" si="44"/>
        <v>580672.88125211978</v>
      </c>
      <c r="K160" s="33">
        <f t="shared" si="44"/>
        <v>-97247.546451227478</v>
      </c>
      <c r="L160" s="33">
        <f t="shared" si="44"/>
        <v>-604627.39961332188</v>
      </c>
      <c r="M160" s="33">
        <f t="shared" si="44"/>
        <v>-86483.816504616465</v>
      </c>
      <c r="N160" s="33">
        <f t="shared" si="44"/>
        <v>-2936153.2304282794</v>
      </c>
      <c r="O160" s="33">
        <f t="shared" si="44"/>
        <v>4733390.3526804261</v>
      </c>
      <c r="P160" s="33">
        <f t="shared" si="44"/>
        <v>-50944.190632881669</v>
      </c>
      <c r="Q160" s="33">
        <f t="shared" si="44"/>
        <v>2505371.4558502147</v>
      </c>
      <c r="R160" s="33">
        <f t="shared" si="44"/>
        <v>-54905.197753575594</v>
      </c>
      <c r="S160" s="33">
        <f t="shared" si="44"/>
        <v>3543038.3853551312</v>
      </c>
      <c r="T160" s="33">
        <f t="shared" si="44"/>
        <v>3064374.7748532887</v>
      </c>
    </row>
    <row r="161" spans="1:20" s="1" customFormat="1" ht="12">
      <c r="A161" s="82" t="s">
        <v>50</v>
      </c>
      <c r="B161" s="95" t="s">
        <v>32</v>
      </c>
      <c r="C161" s="175" t="s">
        <v>0</v>
      </c>
      <c r="D161" s="252">
        <f>SUMPRODUCT(E161:T161,$E$174:$T$174)</f>
        <v>23268809.330943484</v>
      </c>
      <c r="E161" s="20">
        <f t="shared" ref="E161:T161" si="45">E102*E158+E103*E157</f>
        <v>0</v>
      </c>
      <c r="F161" s="20">
        <f t="shared" si="45"/>
        <v>0</v>
      </c>
      <c r="G161" s="20">
        <f t="shared" si="45"/>
        <v>19802700</v>
      </c>
      <c r="H161" s="20">
        <f t="shared" si="45"/>
        <v>0</v>
      </c>
      <c r="I161" s="20">
        <f t="shared" si="45"/>
        <v>0</v>
      </c>
      <c r="J161" s="20">
        <f t="shared" si="45"/>
        <v>522000</v>
      </c>
      <c r="K161" s="20">
        <f t="shared" si="45"/>
        <v>0</v>
      </c>
      <c r="L161" s="20">
        <f t="shared" si="45"/>
        <v>-522000</v>
      </c>
      <c r="M161" s="20">
        <f t="shared" si="45"/>
        <v>0</v>
      </c>
      <c r="N161" s="20">
        <f t="shared" si="45"/>
        <v>-3654000</v>
      </c>
      <c r="O161" s="20">
        <f t="shared" si="45"/>
        <v>4671900</v>
      </c>
      <c r="P161" s="20">
        <f t="shared" si="45"/>
        <v>0</v>
      </c>
      <c r="Q161" s="20">
        <f t="shared" si="45"/>
        <v>2644800</v>
      </c>
      <c r="R161" s="20">
        <f t="shared" si="45"/>
        <v>0</v>
      </c>
      <c r="S161" s="20">
        <f t="shared" si="45"/>
        <v>3601800</v>
      </c>
      <c r="T161" s="20">
        <f t="shared" si="45"/>
        <v>-522000</v>
      </c>
    </row>
    <row r="162" spans="1:20" s="1" customFormat="1" ht="12">
      <c r="A162" s="82" t="s">
        <v>51</v>
      </c>
      <c r="B162" s="95" t="s">
        <v>91</v>
      </c>
      <c r="C162" s="175" t="s">
        <v>0</v>
      </c>
      <c r="D162" s="252">
        <f>SUMPRODUCT(E162:T162,$E$174:$T$174)</f>
        <v>-672603.36801962054</v>
      </c>
      <c r="E162" s="20">
        <f>E153*E159</f>
        <v>-57370.920977955982</v>
      </c>
      <c r="F162" s="20">
        <f t="shared" ref="F162:T162" si="46">F153*F159</f>
        <v>-56775.930465352925</v>
      </c>
      <c r="G162" s="20">
        <f t="shared" si="46"/>
        <v>-89492.024634537069</v>
      </c>
      <c r="H162" s="20">
        <f t="shared" si="46"/>
        <v>-64538.296658733321</v>
      </c>
      <c r="I162" s="20">
        <f t="shared" si="46"/>
        <v>-68182.707703306005</v>
      </c>
      <c r="J162" s="20">
        <f t="shared" si="46"/>
        <v>-71827.118747880144</v>
      </c>
      <c r="K162" s="20">
        <f t="shared" si="46"/>
        <v>-97247.546451227478</v>
      </c>
      <c r="L162" s="20">
        <f t="shared" si="46"/>
        <v>-82627.399613321832</v>
      </c>
      <c r="M162" s="20">
        <f t="shared" si="46"/>
        <v>-86483.816504616465</v>
      </c>
      <c r="N162" s="20">
        <f t="shared" si="46"/>
        <v>65346.769571720441</v>
      </c>
      <c r="O162" s="20">
        <f t="shared" si="46"/>
        <v>61490.352680425814</v>
      </c>
      <c r="P162" s="20">
        <f t="shared" si="46"/>
        <v>-50944.190632881669</v>
      </c>
      <c r="Q162" s="20">
        <f t="shared" si="46"/>
        <v>-8928.5441497854899</v>
      </c>
      <c r="R162" s="20">
        <f t="shared" si="46"/>
        <v>-54905.197753575594</v>
      </c>
      <c r="S162" s="20">
        <f t="shared" si="46"/>
        <v>-58761.614644868765</v>
      </c>
      <c r="T162" s="20">
        <f t="shared" si="46"/>
        <v>-83808.281681021719</v>
      </c>
    </row>
    <row r="163" spans="1:20" s="1" customFormat="1" ht="12">
      <c r="A163" s="82" t="s">
        <v>57</v>
      </c>
      <c r="B163" s="95" t="s">
        <v>59</v>
      </c>
      <c r="C163" s="175" t="s">
        <v>0</v>
      </c>
      <c r="D163" s="252">
        <f>SUMPRODUCT(E163:T163,$E$174:$T$174)</f>
        <v>521127.28985116701</v>
      </c>
      <c r="E163" s="20">
        <f>E154*E158</f>
        <v>0</v>
      </c>
      <c r="F163" s="20">
        <f t="shared" ref="F163:T163" si="47">F154*F158</f>
        <v>0</v>
      </c>
      <c r="G163" s="20">
        <f t="shared" si="47"/>
        <v>0</v>
      </c>
      <c r="H163" s="20">
        <f t="shared" si="47"/>
        <v>0</v>
      </c>
      <c r="I163" s="20">
        <f t="shared" si="47"/>
        <v>0</v>
      </c>
      <c r="J163" s="20">
        <f t="shared" si="47"/>
        <v>130500</v>
      </c>
      <c r="K163" s="20">
        <f t="shared" si="47"/>
        <v>0</v>
      </c>
      <c r="L163" s="20">
        <f t="shared" si="47"/>
        <v>0</v>
      </c>
      <c r="M163" s="20">
        <f t="shared" si="47"/>
        <v>0</v>
      </c>
      <c r="N163" s="20">
        <f t="shared" si="47"/>
        <v>652500</v>
      </c>
      <c r="O163" s="20">
        <f t="shared" si="47"/>
        <v>0</v>
      </c>
      <c r="P163" s="20">
        <f t="shared" si="47"/>
        <v>0</v>
      </c>
      <c r="Q163" s="20">
        <f t="shared" si="47"/>
        <v>-130500</v>
      </c>
      <c r="R163" s="20">
        <f t="shared" si="47"/>
        <v>0</v>
      </c>
      <c r="S163" s="20">
        <f t="shared" si="47"/>
        <v>0</v>
      </c>
      <c r="T163" s="20">
        <f t="shared" si="47"/>
        <v>0</v>
      </c>
    </row>
    <row r="164" spans="1:20" s="1" customFormat="1" ht="12">
      <c r="A164" s="82" t="s">
        <v>201</v>
      </c>
      <c r="B164" s="95" t="s">
        <v>52</v>
      </c>
      <c r="C164" s="175" t="s">
        <v>0</v>
      </c>
      <c r="D164" s="252">
        <f>SUMPRODUCT(E164:T164,$E$174:$T$174)</f>
        <v>2355750.84396955</v>
      </c>
      <c r="E164" s="20">
        <f t="shared" ref="E164:T164" si="48">E155</f>
        <v>0</v>
      </c>
      <c r="F164" s="20">
        <f t="shared" si="48"/>
        <v>0</v>
      </c>
      <c r="G164" s="20">
        <f t="shared" si="48"/>
        <v>0</v>
      </c>
      <c r="H164" s="20">
        <f t="shared" si="48"/>
        <v>0</v>
      </c>
      <c r="I164" s="20">
        <f t="shared" si="48"/>
        <v>0</v>
      </c>
      <c r="J164" s="20">
        <f t="shared" si="48"/>
        <v>0</v>
      </c>
      <c r="K164" s="20">
        <f t="shared" si="48"/>
        <v>0</v>
      </c>
      <c r="L164" s="20">
        <f t="shared" si="48"/>
        <v>0</v>
      </c>
      <c r="M164" s="20">
        <f t="shared" si="48"/>
        <v>0</v>
      </c>
      <c r="N164" s="20">
        <f t="shared" si="48"/>
        <v>0</v>
      </c>
      <c r="O164" s="20">
        <f t="shared" si="48"/>
        <v>0</v>
      </c>
      <c r="P164" s="20">
        <f t="shared" si="48"/>
        <v>0</v>
      </c>
      <c r="Q164" s="20">
        <f t="shared" si="48"/>
        <v>0</v>
      </c>
      <c r="R164" s="20">
        <f t="shared" si="48"/>
        <v>0</v>
      </c>
      <c r="S164" s="20">
        <f t="shared" si="48"/>
        <v>0</v>
      </c>
      <c r="T164" s="20">
        <f t="shared" si="48"/>
        <v>3670183.0565343103</v>
      </c>
    </row>
    <row r="165" spans="1:20" s="1" customFormat="1" ht="12">
      <c r="A165" s="37" t="s">
        <v>30</v>
      </c>
      <c r="B165" s="101" t="s">
        <v>95</v>
      </c>
      <c r="C165" s="175" t="s">
        <v>0</v>
      </c>
      <c r="D165" s="254">
        <f>SUM(E165:T165)</f>
        <v>2034635.2298586785</v>
      </c>
      <c r="E165" s="19">
        <f>E166+E167+E168</f>
        <v>0</v>
      </c>
      <c r="F165" s="19">
        <f t="shared" ref="F165:T165" si="49">F166+F167+F168</f>
        <v>0</v>
      </c>
      <c r="G165" s="19">
        <f t="shared" si="49"/>
        <v>0</v>
      </c>
      <c r="H165" s="19">
        <f t="shared" si="49"/>
        <v>88127.330484498729</v>
      </c>
      <c r="I165" s="19">
        <f t="shared" si="49"/>
        <v>89774.977393016743</v>
      </c>
      <c r="J165" s="19">
        <f t="shared" si="49"/>
        <v>95289.586715454818</v>
      </c>
      <c r="K165" s="19">
        <f t="shared" si="49"/>
        <v>130333.21926937874</v>
      </c>
      <c r="L165" s="19">
        <f t="shared" si="49"/>
        <v>111379.99546523925</v>
      </c>
      <c r="M165" s="19">
        <f t="shared" si="49"/>
        <v>120119.76551350747</v>
      </c>
      <c r="N165" s="19">
        <f t="shared" si="49"/>
        <v>129851.24284878447</v>
      </c>
      <c r="O165" s="19">
        <f t="shared" si="49"/>
        <v>148098.24921899801</v>
      </c>
      <c r="P165" s="19">
        <f t="shared" si="49"/>
        <v>169348.11981290556</v>
      </c>
      <c r="Q165" s="19">
        <f t="shared" si="49"/>
        <v>193476.04024271906</v>
      </c>
      <c r="R165" s="19">
        <f t="shared" si="49"/>
        <v>220473.51213165512</v>
      </c>
      <c r="S165" s="19">
        <f t="shared" si="49"/>
        <v>250388.60302300507</v>
      </c>
      <c r="T165" s="19">
        <f t="shared" si="49"/>
        <v>287974.58773951576</v>
      </c>
    </row>
    <row r="166" spans="1:20" s="1" customFormat="1" ht="14.25" customHeight="1">
      <c r="A166" s="82" t="s">
        <v>87</v>
      </c>
      <c r="B166" s="106" t="s">
        <v>98</v>
      </c>
      <c r="C166" s="175" t="s">
        <v>0</v>
      </c>
      <c r="D166" s="252">
        <f>SUMPRODUCT(E166:T166,$E$174:$T$174)</f>
        <v>59218.366473223999</v>
      </c>
      <c r="E166" s="20">
        <f>-(E58-'Scenariusz bazowy'!E58)</f>
        <v>0</v>
      </c>
      <c r="F166" s="20">
        <f>-(F58-'Scenariusz bazowy'!F58)</f>
        <v>0</v>
      </c>
      <c r="G166" s="20">
        <f>-(G58-'Scenariusz bazowy'!G58)</f>
        <v>0</v>
      </c>
      <c r="H166" s="20">
        <f>-(H58-'Scenariusz bazowy'!H58)</f>
        <v>776.56220757521805</v>
      </c>
      <c r="I166" s="20">
        <f>-(I58-'Scenariusz bazowy'!I58)</f>
        <v>1096.502505337703</v>
      </c>
      <c r="J166" s="20">
        <f>-(J58-'Scenariusz bazowy'!J58)</f>
        <v>1432.8573861395125</v>
      </c>
      <c r="K166" s="20">
        <f>-(K58-'Scenariusz bazowy'!K58)</f>
        <v>27556.604045596134</v>
      </c>
      <c r="L166" s="20">
        <f>-(L58-'Scenariusz bazowy'!L58)</f>
        <v>1312.0543797226564</v>
      </c>
      <c r="M166" s="20">
        <f>-(M58-'Scenariusz bazowy'!M58)</f>
        <v>1676.7034940769663</v>
      </c>
      <c r="N166" s="20">
        <f>-(N58-'Scenariusz bazowy'!N58)</f>
        <v>2757.02170948805</v>
      </c>
      <c r="O166" s="20">
        <f>-(O58-'Scenariusz bazowy'!O58)</f>
        <v>3888.4386919090757</v>
      </c>
      <c r="P166" s="20">
        <f>-(P58-'Scenariusz bazowy'!P58)</f>
        <v>5074.6238016984425</v>
      </c>
      <c r="Q166" s="20">
        <f>-(Q58-'Scenariusz bazowy'!Q58)</f>
        <v>6313.0290726050298</v>
      </c>
      <c r="R166" s="20">
        <f>-(R58-'Scenariusz bazowy'!R58)</f>
        <v>7603.028135794666</v>
      </c>
      <c r="S166" s="20">
        <f>-(S58-'Scenariusz bazowy'!S58)</f>
        <v>9179.8102599391568</v>
      </c>
      <c r="T166" s="20">
        <f>-(T58-'Scenariusz bazowy'!T58)</f>
        <v>10099.311451710921</v>
      </c>
    </row>
    <row r="167" spans="1:20" s="1" customFormat="1" ht="12">
      <c r="A167" s="82" t="s">
        <v>99</v>
      </c>
      <c r="B167" s="106" t="s">
        <v>96</v>
      </c>
      <c r="C167" s="175" t="s">
        <v>0</v>
      </c>
      <c r="D167" s="252">
        <f>SUMPRODUCT(E167:T167,$E$174:$T$174)</f>
        <v>-19784.643303482982</v>
      </c>
      <c r="E167" s="20">
        <f>-(E42-'Scenariusz bazowy'!E42)</f>
        <v>0</v>
      </c>
      <c r="F167" s="20">
        <f>-(F42-'Scenariusz bazowy'!F42)</f>
        <v>0</v>
      </c>
      <c r="G167" s="20">
        <f>-(G42-'Scenariusz bazowy'!G42)</f>
        <v>0</v>
      </c>
      <c r="H167" s="20">
        <f>-(H42-'Scenariusz bazowy'!H42)</f>
        <v>-39109.469767001108</v>
      </c>
      <c r="I167" s="20">
        <f>-(I42-'Scenariusz bazowy'!I42)</f>
        <v>-41089.293360903626</v>
      </c>
      <c r="J167" s="20">
        <f>-(J42-'Scenariusz bazowy'!J42)</f>
        <v>-39324.587952558184</v>
      </c>
      <c r="K167" s="20">
        <f>-(K42-'Scenariusz bazowy'!K42)</f>
        <v>-37118.892074847827</v>
      </c>
      <c r="L167" s="20">
        <f>-(L42-'Scenariusz bazowy'!L42)</f>
        <v>-29904.496418202762</v>
      </c>
      <c r="M167" s="20">
        <f>-(M42-'Scenariusz bazowy'!M42)</f>
        <v>-25047.781197337783</v>
      </c>
      <c r="N167" s="20">
        <f>-(N42-'Scenariusz bazowy'!N42)</f>
        <v>-20026.222446139785</v>
      </c>
      <c r="O167" s="20">
        <f>-(O42-'Scenariusz bazowy'!O42)</f>
        <v>-6535.834192113718</v>
      </c>
      <c r="P167" s="20">
        <f>-(P42-'Scenariusz bazowy'!P42)</f>
        <v>9792.5128846685402</v>
      </c>
      <c r="Q167" s="20">
        <f>-(Q42-'Scenariusz bazowy'!Q42)</f>
        <v>28958.818784207338</v>
      </c>
      <c r="R167" s="20">
        <f>-(R42-'Scenariusz bazowy'!R42)</f>
        <v>50963.083506501978</v>
      </c>
      <c r="S167" s="20">
        <f>-(S42-'Scenariusz bazowy'!S42)</f>
        <v>75623.954642338678</v>
      </c>
      <c r="T167" s="20">
        <f>-(T42-'Scenariusz bazowy'!T42)</f>
        <v>108646.66873808205</v>
      </c>
    </row>
    <row r="168" spans="1:20" s="1" customFormat="1" ht="12">
      <c r="A168" s="82" t="s">
        <v>100</v>
      </c>
      <c r="B168" s="106" t="s">
        <v>97</v>
      </c>
      <c r="C168" s="175" t="s">
        <v>0</v>
      </c>
      <c r="D168" s="252">
        <f>SUMPRODUCT(E168:T168,$E$174:$T$174)</f>
        <v>1465982.6928681443</v>
      </c>
      <c r="E168" s="20">
        <f>-(E86-'Scenariusz bazowy'!E86)</f>
        <v>0</v>
      </c>
      <c r="F168" s="20">
        <f>-(F86-'Scenariusz bazowy'!F86)</f>
        <v>0</v>
      </c>
      <c r="G168" s="20">
        <f>-(G86-'Scenariusz bazowy'!G86)</f>
        <v>0</v>
      </c>
      <c r="H168" s="20">
        <f>-(H86-'Scenariusz bazowy'!H86)</f>
        <v>126460.23804392462</v>
      </c>
      <c r="I168" s="20">
        <f>-(I86-'Scenariusz bazowy'!I86)</f>
        <v>129767.76824858267</v>
      </c>
      <c r="J168" s="20">
        <f>-(J86-'Scenariusz bazowy'!J86)</f>
        <v>133181.31728187349</v>
      </c>
      <c r="K168" s="20">
        <f>-(K86-'Scenariusz bazowy'!K86)</f>
        <v>139895.50729863043</v>
      </c>
      <c r="L168" s="20">
        <f>-(L86-'Scenariusz bazowy'!L86)</f>
        <v>139972.43750371935</v>
      </c>
      <c r="M168" s="20">
        <f>-(M86-'Scenariusz bazowy'!M86)</f>
        <v>143490.84321676829</v>
      </c>
      <c r="N168" s="20">
        <f>-(N86-'Scenariusz bazowy'!N86)</f>
        <v>147120.44358543621</v>
      </c>
      <c r="O168" s="20">
        <f>-(O86-'Scenariusz bazowy'!O86)</f>
        <v>150745.64471920265</v>
      </c>
      <c r="P168" s="20">
        <f>-(P86-'Scenariusz bazowy'!P86)</f>
        <v>154480.98312653857</v>
      </c>
      <c r="Q168" s="20">
        <f>-(Q86-'Scenariusz bazowy'!Q86)</f>
        <v>158204.1923859067</v>
      </c>
      <c r="R168" s="20">
        <f>-(R86-'Scenariusz bazowy'!R86)</f>
        <v>161907.40048935846</v>
      </c>
      <c r="S168" s="20">
        <f>-(S86-'Scenariusz bazowy'!S86)</f>
        <v>165584.83812072722</v>
      </c>
      <c r="T168" s="20">
        <f>-(T86-'Scenariusz bazowy'!T86)</f>
        <v>169228.60754972277</v>
      </c>
    </row>
    <row r="169" spans="1:20" s="11" customFormat="1" ht="12">
      <c r="A169" s="37" t="s">
        <v>31</v>
      </c>
      <c r="B169" s="101" t="s">
        <v>101</v>
      </c>
      <c r="C169" s="253" t="s">
        <v>0</v>
      </c>
      <c r="D169" s="253"/>
      <c r="E169" s="19">
        <f>-E170+E171+E172+E173</f>
        <v>57370.920977955982</v>
      </c>
      <c r="F169" s="19">
        <f t="shared" ref="F169:T169" si="50">-F170+F171+F172+F173</f>
        <v>56775.930465352925</v>
      </c>
      <c r="G169" s="19">
        <f t="shared" si="50"/>
        <v>-19713207.975365464</v>
      </c>
      <c r="H169" s="19">
        <f t="shared" si="50"/>
        <v>152665.62714323204</v>
      </c>
      <c r="I169" s="19">
        <f t="shared" si="50"/>
        <v>157957.68509632273</v>
      </c>
      <c r="J169" s="19">
        <f t="shared" si="50"/>
        <v>-485383.29453666497</v>
      </c>
      <c r="K169" s="19">
        <f t="shared" si="50"/>
        <v>227580.7657206062</v>
      </c>
      <c r="L169" s="19">
        <f t="shared" si="50"/>
        <v>716007.39507856115</v>
      </c>
      <c r="M169" s="19">
        <f t="shared" si="50"/>
        <v>206603.58201812394</v>
      </c>
      <c r="N169" s="19">
        <f t="shared" si="50"/>
        <v>3066004.4732770636</v>
      </c>
      <c r="O169" s="19">
        <f t="shared" si="50"/>
        <v>-4585292.1034614285</v>
      </c>
      <c r="P169" s="19">
        <f t="shared" si="50"/>
        <v>220292.31044578721</v>
      </c>
      <c r="Q169" s="19">
        <f t="shared" si="50"/>
        <v>-2311895.4156074957</v>
      </c>
      <c r="R169" s="19">
        <f t="shared" si="50"/>
        <v>275378.7098852307</v>
      </c>
      <c r="S169" s="19">
        <f t="shared" si="50"/>
        <v>-3292649.7823321261</v>
      </c>
      <c r="T169" s="19">
        <f t="shared" si="50"/>
        <v>4563965.9259548485</v>
      </c>
    </row>
    <row r="170" spans="1:20" s="11" customFormat="1" ht="12">
      <c r="A170" s="82" t="s">
        <v>106</v>
      </c>
      <c r="B170" s="95" t="s">
        <v>109</v>
      </c>
      <c r="C170" s="175" t="s">
        <v>0</v>
      </c>
      <c r="D170" s="253"/>
      <c r="E170" s="20">
        <f>E161+E162+E163</f>
        <v>-57370.920977955982</v>
      </c>
      <c r="F170" s="20">
        <f t="shared" ref="F170:T170" si="51">F161+F162+F163</f>
        <v>-56775.930465352925</v>
      </c>
      <c r="G170" s="20">
        <f t="shared" si="51"/>
        <v>19713207.975365464</v>
      </c>
      <c r="H170" s="20">
        <f t="shared" si="51"/>
        <v>-64538.296658733321</v>
      </c>
      <c r="I170" s="20">
        <f t="shared" si="51"/>
        <v>-68182.707703306005</v>
      </c>
      <c r="J170" s="20">
        <f t="shared" si="51"/>
        <v>580672.88125211978</v>
      </c>
      <c r="K170" s="20">
        <f t="shared" si="51"/>
        <v>-97247.546451227478</v>
      </c>
      <c r="L170" s="20">
        <f t="shared" si="51"/>
        <v>-604627.39961332188</v>
      </c>
      <c r="M170" s="20">
        <f t="shared" si="51"/>
        <v>-86483.816504616465</v>
      </c>
      <c r="N170" s="20">
        <f t="shared" si="51"/>
        <v>-2936153.2304282794</v>
      </c>
      <c r="O170" s="20">
        <f t="shared" si="51"/>
        <v>4733390.3526804261</v>
      </c>
      <c r="P170" s="20">
        <f t="shared" si="51"/>
        <v>-50944.190632881669</v>
      </c>
      <c r="Q170" s="20">
        <f t="shared" si="51"/>
        <v>2505371.4558502147</v>
      </c>
      <c r="R170" s="20">
        <f t="shared" si="51"/>
        <v>-54905.197753575594</v>
      </c>
      <c r="S170" s="20">
        <f t="shared" si="51"/>
        <v>3543038.3853551312</v>
      </c>
      <c r="T170" s="20">
        <f t="shared" si="51"/>
        <v>-605808.28168102168</v>
      </c>
    </row>
    <row r="171" spans="1:20" s="11" customFormat="1" ht="12">
      <c r="A171" s="82" t="s">
        <v>107</v>
      </c>
      <c r="B171" s="95" t="s">
        <v>52</v>
      </c>
      <c r="C171" s="175" t="s">
        <v>0</v>
      </c>
      <c r="D171" s="253"/>
      <c r="E171" s="20">
        <f t="shared" ref="E171:T171" si="52">E164</f>
        <v>0</v>
      </c>
      <c r="F171" s="20">
        <f t="shared" si="52"/>
        <v>0</v>
      </c>
      <c r="G171" s="20">
        <f t="shared" si="52"/>
        <v>0</v>
      </c>
      <c r="H171" s="20">
        <f t="shared" si="52"/>
        <v>0</v>
      </c>
      <c r="I171" s="20">
        <f t="shared" si="52"/>
        <v>0</v>
      </c>
      <c r="J171" s="20">
        <f t="shared" si="52"/>
        <v>0</v>
      </c>
      <c r="K171" s="20">
        <f t="shared" si="52"/>
        <v>0</v>
      </c>
      <c r="L171" s="20">
        <f t="shared" si="52"/>
        <v>0</v>
      </c>
      <c r="M171" s="20">
        <f t="shared" si="52"/>
        <v>0</v>
      </c>
      <c r="N171" s="20">
        <f t="shared" si="52"/>
        <v>0</v>
      </c>
      <c r="O171" s="20">
        <f t="shared" si="52"/>
        <v>0</v>
      </c>
      <c r="P171" s="20">
        <f t="shared" si="52"/>
        <v>0</v>
      </c>
      <c r="Q171" s="20">
        <f t="shared" si="52"/>
        <v>0</v>
      </c>
      <c r="R171" s="20">
        <f t="shared" si="52"/>
        <v>0</v>
      </c>
      <c r="S171" s="20">
        <f t="shared" si="52"/>
        <v>0</v>
      </c>
      <c r="T171" s="20">
        <f t="shared" si="52"/>
        <v>3670183.0565343103</v>
      </c>
    </row>
    <row r="172" spans="1:20" s="11" customFormat="1" ht="12">
      <c r="A172" s="82" t="s">
        <v>110</v>
      </c>
      <c r="B172" s="95" t="s">
        <v>104</v>
      </c>
      <c r="C172" s="175" t="s">
        <v>0</v>
      </c>
      <c r="D172" s="253"/>
      <c r="E172" s="20">
        <f t="shared" ref="E172:T172" si="53">SUMIF(E166:E168,"&gt;0")</f>
        <v>0</v>
      </c>
      <c r="F172" s="20">
        <f t="shared" si="53"/>
        <v>0</v>
      </c>
      <c r="G172" s="20">
        <f t="shared" si="53"/>
        <v>0</v>
      </c>
      <c r="H172" s="20">
        <f t="shared" si="53"/>
        <v>127236.80025149984</v>
      </c>
      <c r="I172" s="20">
        <f t="shared" si="53"/>
        <v>130864.27075392037</v>
      </c>
      <c r="J172" s="20">
        <f t="shared" si="53"/>
        <v>134614.174668013</v>
      </c>
      <c r="K172" s="20">
        <f t="shared" si="53"/>
        <v>167452.11134422658</v>
      </c>
      <c r="L172" s="20">
        <f t="shared" si="53"/>
        <v>141284.49188344201</v>
      </c>
      <c r="M172" s="20">
        <f t="shared" si="53"/>
        <v>145167.54671084526</v>
      </c>
      <c r="N172" s="20">
        <f t="shared" si="53"/>
        <v>149877.46529492427</v>
      </c>
      <c r="O172" s="20">
        <f t="shared" si="53"/>
        <v>154634.08341111173</v>
      </c>
      <c r="P172" s="20">
        <f t="shared" si="53"/>
        <v>169348.11981290556</v>
      </c>
      <c r="Q172" s="20">
        <f t="shared" si="53"/>
        <v>193476.04024271906</v>
      </c>
      <c r="R172" s="20">
        <f t="shared" si="53"/>
        <v>220473.51213165512</v>
      </c>
      <c r="S172" s="20">
        <f t="shared" si="53"/>
        <v>250388.60302300507</v>
      </c>
      <c r="T172" s="20">
        <f t="shared" si="53"/>
        <v>287974.58773951576</v>
      </c>
    </row>
    <row r="173" spans="1:20" s="11" customFormat="1" ht="12">
      <c r="A173" s="82" t="s">
        <v>111</v>
      </c>
      <c r="B173" s="95" t="s">
        <v>105</v>
      </c>
      <c r="C173" s="175" t="s">
        <v>0</v>
      </c>
      <c r="D173" s="253"/>
      <c r="E173" s="20">
        <f t="shared" ref="E173:T173" si="54">SUMIF(E166:E168,"&lt;0")</f>
        <v>0</v>
      </c>
      <c r="F173" s="20">
        <f t="shared" si="54"/>
        <v>0</v>
      </c>
      <c r="G173" s="20">
        <f t="shared" si="54"/>
        <v>0</v>
      </c>
      <c r="H173" s="20">
        <f t="shared" si="54"/>
        <v>-39109.469767001108</v>
      </c>
      <c r="I173" s="20">
        <f t="shared" si="54"/>
        <v>-41089.293360903626</v>
      </c>
      <c r="J173" s="20">
        <f t="shared" si="54"/>
        <v>-39324.587952558184</v>
      </c>
      <c r="K173" s="20">
        <f t="shared" si="54"/>
        <v>-37118.892074847827</v>
      </c>
      <c r="L173" s="20">
        <f t="shared" si="54"/>
        <v>-29904.496418202762</v>
      </c>
      <c r="M173" s="20">
        <f t="shared" si="54"/>
        <v>-25047.781197337783</v>
      </c>
      <c r="N173" s="20">
        <f t="shared" si="54"/>
        <v>-20026.222446139785</v>
      </c>
      <c r="O173" s="20">
        <f t="shared" si="54"/>
        <v>-6535.834192113718</v>
      </c>
      <c r="P173" s="20">
        <f t="shared" si="54"/>
        <v>0</v>
      </c>
      <c r="Q173" s="20">
        <f t="shared" si="54"/>
        <v>0</v>
      </c>
      <c r="R173" s="20">
        <f t="shared" si="54"/>
        <v>0</v>
      </c>
      <c r="S173" s="20">
        <f t="shared" si="54"/>
        <v>0</v>
      </c>
      <c r="T173" s="20">
        <f t="shared" si="54"/>
        <v>0</v>
      </c>
    </row>
    <row r="174" spans="1:20" s="1" customFormat="1" ht="12">
      <c r="A174" s="37" t="s">
        <v>35</v>
      </c>
      <c r="B174" s="101" t="s">
        <v>86</v>
      </c>
      <c r="C174" s="175" t="s">
        <v>88</v>
      </c>
      <c r="D174" s="175"/>
      <c r="E174" s="29">
        <v>1</v>
      </c>
      <c r="F174" s="29">
        <f t="shared" ref="F174:T174" si="55">(1/(1+F175)^F150)</f>
        <v>0.970873786407767</v>
      </c>
      <c r="G174" s="29">
        <f t="shared" si="55"/>
        <v>0.94259590913375435</v>
      </c>
      <c r="H174" s="29">
        <f t="shared" si="55"/>
        <v>0.91514165935315961</v>
      </c>
      <c r="I174" s="29">
        <f t="shared" si="55"/>
        <v>0.888487047915689</v>
      </c>
      <c r="J174" s="29">
        <f t="shared" si="55"/>
        <v>0.86260878438416411</v>
      </c>
      <c r="K174" s="29">
        <f t="shared" si="55"/>
        <v>0.83748425668365445</v>
      </c>
      <c r="L174" s="29">
        <f t="shared" si="55"/>
        <v>0.81309151134335378</v>
      </c>
      <c r="M174" s="29">
        <f t="shared" si="55"/>
        <v>0.78940923431393573</v>
      </c>
      <c r="N174" s="29">
        <f t="shared" si="55"/>
        <v>0.76641673234362695</v>
      </c>
      <c r="O174" s="29">
        <f t="shared" si="55"/>
        <v>0.74409391489672516</v>
      </c>
      <c r="P174" s="29">
        <f t="shared" si="55"/>
        <v>0.72242127659876232</v>
      </c>
      <c r="Q174" s="29">
        <f t="shared" si="55"/>
        <v>0.70137988019297326</v>
      </c>
      <c r="R174" s="29">
        <f t="shared" si="55"/>
        <v>0.68095133999317792</v>
      </c>
      <c r="S174" s="29">
        <f t="shared" si="55"/>
        <v>0.66111780581861923</v>
      </c>
      <c r="T174" s="29">
        <f t="shared" si="55"/>
        <v>0.64186194739671765</v>
      </c>
    </row>
    <row r="175" spans="1:20" s="1" customFormat="1" ht="12">
      <c r="A175" s="82" t="s">
        <v>108</v>
      </c>
      <c r="B175" s="95" t="s">
        <v>102</v>
      </c>
      <c r="C175" s="175" t="s">
        <v>1</v>
      </c>
      <c r="D175" s="175"/>
      <c r="E175" s="30">
        <f>Założenia!E17</f>
        <v>0.03</v>
      </c>
      <c r="F175" s="30">
        <f>Założenia!F17</f>
        <v>0.03</v>
      </c>
      <c r="G175" s="30">
        <f>Założenia!G17</f>
        <v>0.03</v>
      </c>
      <c r="H175" s="30">
        <f>Założenia!H17</f>
        <v>0.03</v>
      </c>
      <c r="I175" s="30">
        <f>Założenia!I17</f>
        <v>0.03</v>
      </c>
      <c r="J175" s="30">
        <f>Założenia!J17</f>
        <v>0.03</v>
      </c>
      <c r="K175" s="30">
        <f>Założenia!K17</f>
        <v>0.03</v>
      </c>
      <c r="L175" s="30">
        <f>Założenia!L17</f>
        <v>0.03</v>
      </c>
      <c r="M175" s="30">
        <f>Założenia!M17</f>
        <v>0.03</v>
      </c>
      <c r="N175" s="30">
        <f>Założenia!N17</f>
        <v>0.03</v>
      </c>
      <c r="O175" s="30">
        <f>Założenia!O17</f>
        <v>0.03</v>
      </c>
      <c r="P175" s="30">
        <f>Założenia!P17</f>
        <v>0.03</v>
      </c>
      <c r="Q175" s="30">
        <f>Założenia!Q17</f>
        <v>0.03</v>
      </c>
      <c r="R175" s="30">
        <f>Założenia!R17</f>
        <v>0.03</v>
      </c>
      <c r="S175" s="30">
        <f>Założenia!S17</f>
        <v>0.03</v>
      </c>
      <c r="T175" s="30">
        <f>Założenia!T17</f>
        <v>0.03</v>
      </c>
    </row>
    <row r="176" spans="1:20" s="11" customFormat="1" ht="12">
      <c r="A176" s="37" t="s">
        <v>36</v>
      </c>
      <c r="B176" s="101" t="s">
        <v>103</v>
      </c>
      <c r="C176" s="253" t="s">
        <v>0</v>
      </c>
      <c r="D176" s="253"/>
      <c r="E176" s="99">
        <f>E169*E174</f>
        <v>57370.920977955982</v>
      </c>
      <c r="F176" s="99">
        <f>F169*F174</f>
        <v>55122.262587721285</v>
      </c>
      <c r="G176" s="99">
        <f>G169*G174</f>
        <v>-18581589.193482388</v>
      </c>
      <c r="H176" s="99">
        <f t="shared" ref="H176:T176" si="56">H169*H174</f>
        <v>139710.67535004814</v>
      </c>
      <c r="I176" s="99">
        <f t="shared" si="56"/>
        <v>140343.3573268278</v>
      </c>
      <c r="J176" s="99">
        <f t="shared" si="56"/>
        <v>-418695.89366065327</v>
      </c>
      <c r="K176" s="99">
        <f t="shared" si="56"/>
        <v>190595.30841501878</v>
      </c>
      <c r="L176" s="99">
        <f t="shared" si="56"/>
        <v>582179.53499744507</v>
      </c>
      <c r="M176" s="99">
        <f t="shared" si="56"/>
        <v>163094.77548744364</v>
      </c>
      <c r="N176" s="99">
        <f t="shared" si="56"/>
        <v>2349837.1297599501</v>
      </c>
      <c r="O176" s="99">
        <f t="shared" si="56"/>
        <v>-3411887.9522096543</v>
      </c>
      <c r="P176" s="99">
        <f t="shared" si="56"/>
        <v>159143.85213713645</v>
      </c>
      <c r="Q176" s="99">
        <f t="shared" si="56"/>
        <v>-1621516.9296174694</v>
      </c>
      <c r="R176" s="99">
        <f t="shared" si="56"/>
        <v>187519.50150194042</v>
      </c>
      <c r="S176" s="99">
        <f t="shared" si="56"/>
        <v>-2176829.3994245692</v>
      </c>
      <c r="T176" s="99">
        <f t="shared" si="56"/>
        <v>2929436.0570856426</v>
      </c>
    </row>
    <row r="177" spans="1:22" s="28" customFormat="1" ht="12">
      <c r="A177" s="37" t="s">
        <v>37</v>
      </c>
      <c r="B177" s="100" t="s">
        <v>67</v>
      </c>
      <c r="C177" s="90" t="s">
        <v>0</v>
      </c>
      <c r="D177" s="90"/>
      <c r="E177" s="146">
        <f>SUM(E176:T176)</f>
        <v>-19256165.992767602</v>
      </c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</row>
    <row r="178" spans="1:22" s="28" customFormat="1" ht="12">
      <c r="A178" s="37" t="s">
        <v>38</v>
      </c>
      <c r="B178" s="100" t="s">
        <v>89</v>
      </c>
      <c r="C178" s="90" t="s">
        <v>1</v>
      </c>
      <c r="D178" s="90"/>
      <c r="E178" s="412">
        <f>IRR(E169:T169)</f>
        <v>17.044334923637702</v>
      </c>
      <c r="F178" s="411" t="s">
        <v>386</v>
      </c>
      <c r="G178" s="103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</row>
    <row r="179" spans="1:22" s="28" customFormat="1" ht="12">
      <c r="A179" s="37" t="s">
        <v>39</v>
      </c>
      <c r="B179" s="100" t="s">
        <v>65</v>
      </c>
      <c r="C179" s="90" t="s">
        <v>88</v>
      </c>
      <c r="D179" s="90"/>
      <c r="E179" s="108">
        <f>(D164-D162+D166+D168-D163+D167)/D161</f>
        <v>0.17244729977823872</v>
      </c>
      <c r="F179" s="102"/>
      <c r="G179" s="103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</row>
    <row r="180" spans="1:22" s="28" customFormat="1" ht="12">
      <c r="A180" s="37"/>
      <c r="B180" s="105"/>
      <c r="C180" s="22"/>
      <c r="D180" s="22"/>
      <c r="E180" s="104"/>
      <c r="F180" s="102"/>
      <c r="G180" s="103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</row>
    <row r="181" spans="1:22" s="1" customFormat="1">
      <c r="A181" s="53"/>
      <c r="B181" s="63"/>
      <c r="C181" s="40"/>
      <c r="D181" s="40"/>
      <c r="E181" s="40"/>
      <c r="F181" s="54"/>
      <c r="G181" s="40"/>
      <c r="H181" s="40"/>
      <c r="I181" s="45"/>
    </row>
    <row r="182" spans="1:22" s="1" customFormat="1">
      <c r="A182" s="53"/>
      <c r="B182" s="63"/>
      <c r="C182" s="40"/>
      <c r="D182" s="40"/>
      <c r="E182" s="40"/>
      <c r="F182" s="54"/>
      <c r="G182" s="40"/>
      <c r="H182" s="44"/>
      <c r="I182"/>
    </row>
    <row r="183" spans="1:22" s="1" customFormat="1" ht="13.5" thickBot="1">
      <c r="A183" s="53"/>
      <c r="B183" s="73" t="s">
        <v>239</v>
      </c>
      <c r="C183" s="112" t="s">
        <v>240</v>
      </c>
      <c r="D183" s="112" t="s">
        <v>0</v>
      </c>
      <c r="E183" s="112" t="s">
        <v>241</v>
      </c>
      <c r="F183" s="112">
        <f t="shared" ref="F183:U183" si="57">E5</f>
        <v>2024</v>
      </c>
      <c r="G183" s="112">
        <f t="shared" si="57"/>
        <v>2025</v>
      </c>
      <c r="H183" s="112">
        <f t="shared" si="57"/>
        <v>2026</v>
      </c>
      <c r="I183" s="112">
        <f t="shared" si="57"/>
        <v>2027</v>
      </c>
      <c r="J183" s="112">
        <f t="shared" si="57"/>
        <v>2028</v>
      </c>
      <c r="K183" s="112">
        <f t="shared" si="57"/>
        <v>2029</v>
      </c>
      <c r="L183" s="112">
        <f t="shared" si="57"/>
        <v>2030</v>
      </c>
      <c r="M183" s="112">
        <f t="shared" si="57"/>
        <v>2031</v>
      </c>
      <c r="N183" s="112">
        <f t="shared" si="57"/>
        <v>2032</v>
      </c>
      <c r="O183" s="112">
        <f t="shared" si="57"/>
        <v>2033</v>
      </c>
      <c r="P183" s="112">
        <f t="shared" si="57"/>
        <v>2034</v>
      </c>
      <c r="Q183" s="112">
        <f t="shared" si="57"/>
        <v>2035</v>
      </c>
      <c r="R183" s="112">
        <f t="shared" si="57"/>
        <v>2036</v>
      </c>
      <c r="S183" s="112">
        <f t="shared" si="57"/>
        <v>2037</v>
      </c>
      <c r="T183" s="112">
        <f t="shared" si="57"/>
        <v>2038</v>
      </c>
      <c r="U183" s="112">
        <f t="shared" si="57"/>
        <v>2039</v>
      </c>
    </row>
    <row r="184" spans="1:22" s="1" customFormat="1">
      <c r="A184" s="53"/>
      <c r="B184" s="195" t="s">
        <v>237</v>
      </c>
      <c r="C184" s="205">
        <f>AVERAGE(F185:U185)</f>
        <v>634.79263886053002</v>
      </c>
      <c r="D184" s="201">
        <f>SUMPRODUCT(F184:U184,F185:U185)/COLUMNS(F184:U184)</f>
        <v>935295.14477198874</v>
      </c>
      <c r="E184" s="203" t="s">
        <v>236</v>
      </c>
      <c r="F184" s="196">
        <f>Założenia!E97</f>
        <v>655.58463225699438</v>
      </c>
      <c r="G184" s="196">
        <f>Założenia!F97</f>
        <v>753.34725285672152</v>
      </c>
      <c r="H184" s="196">
        <f>Założenia!G97</f>
        <v>851.10987345644878</v>
      </c>
      <c r="I184" s="196">
        <f>Założenia!H97</f>
        <v>948.87249405617604</v>
      </c>
      <c r="J184" s="196">
        <f>Założenia!I97</f>
        <v>1046.6351146559032</v>
      </c>
      <c r="K184" s="196">
        <f>Założenia!J97</f>
        <v>1144.3977352556303</v>
      </c>
      <c r="L184" s="196">
        <f>Założenia!K97</f>
        <v>1242.1603558553577</v>
      </c>
      <c r="M184" s="196">
        <f>Założenia!L97</f>
        <v>1339.9229764550848</v>
      </c>
      <c r="N184" s="196">
        <f>Założenia!M97</f>
        <v>1437.685597054812</v>
      </c>
      <c r="O184" s="196">
        <f>Założenia!N97</f>
        <v>1598.7063839249508</v>
      </c>
      <c r="P184" s="196">
        <f>Założenia!O97</f>
        <v>1759.7271707950902</v>
      </c>
      <c r="Q184" s="196">
        <f>Założenia!P97</f>
        <v>1920.747957665229</v>
      </c>
      <c r="R184" s="196">
        <f>Założenia!Q97</f>
        <v>2081.7687445353681</v>
      </c>
      <c r="S184" s="196">
        <f>Założenia!R97</f>
        <v>2242.7895314055068</v>
      </c>
      <c r="T184" s="196">
        <f>Założenia!S97</f>
        <v>2398.0595758874269</v>
      </c>
      <c r="U184" s="197">
        <f>Założenia!T97</f>
        <v>2553.3296203693462</v>
      </c>
      <c r="V184" s="40"/>
    </row>
    <row r="185" spans="1:22" s="1" customFormat="1" ht="13.5" thickBot="1">
      <c r="A185" s="53"/>
      <c r="B185" s="198" t="s">
        <v>238</v>
      </c>
      <c r="C185" s="206">
        <f>SUM(F185:U185)</f>
        <v>10156.68222176848</v>
      </c>
      <c r="D185" s="202">
        <f>SUMPRODUCT(F184:U184,F185:U185)</f>
        <v>14964722.31635182</v>
      </c>
      <c r="E185" s="204" t="s">
        <v>232</v>
      </c>
      <c r="F185" s="199">
        <f t="shared" ref="F185:U185" si="58">E49</f>
        <v>646.90998909411769</v>
      </c>
      <c r="G185" s="199">
        <f t="shared" si="58"/>
        <v>640.46920761505351</v>
      </c>
      <c r="H185" s="199">
        <f t="shared" si="58"/>
        <v>639.89252509098935</v>
      </c>
      <c r="I185" s="199">
        <f t="shared" si="58"/>
        <v>679.93154824178475</v>
      </c>
      <c r="J185" s="199">
        <f t="shared" si="58"/>
        <v>677.39655484237801</v>
      </c>
      <c r="K185" s="199">
        <f t="shared" si="58"/>
        <v>671.05907134386086</v>
      </c>
      <c r="L185" s="199">
        <f t="shared" si="58"/>
        <v>659.55316733229824</v>
      </c>
      <c r="M185" s="199">
        <f t="shared" si="58"/>
        <v>653.21568383378121</v>
      </c>
      <c r="N185" s="199">
        <f t="shared" si="58"/>
        <v>646.87820033526407</v>
      </c>
      <c r="O185" s="199">
        <f t="shared" si="58"/>
        <v>640.54071683674704</v>
      </c>
      <c r="P185" s="199">
        <f t="shared" si="58"/>
        <v>629.1332465394164</v>
      </c>
      <c r="Q185" s="199">
        <f t="shared" si="58"/>
        <v>617.72577624208566</v>
      </c>
      <c r="R185" s="199">
        <f t="shared" si="58"/>
        <v>606.31830594475491</v>
      </c>
      <c r="S185" s="199">
        <f t="shared" si="58"/>
        <v>594.91083564742428</v>
      </c>
      <c r="T185" s="199">
        <f t="shared" si="58"/>
        <v>583.50336535009365</v>
      </c>
      <c r="U185" s="200">
        <f t="shared" si="58"/>
        <v>569.24402747843021</v>
      </c>
      <c r="V185" s="40"/>
    </row>
    <row r="186" spans="1:22" s="1" customFormat="1" ht="13.5" thickBot="1">
      <c r="A186" s="53"/>
      <c r="B186" s="73" t="s">
        <v>61</v>
      </c>
      <c r="C186" s="112" t="s">
        <v>240</v>
      </c>
      <c r="D186" s="112" t="s">
        <v>0</v>
      </c>
      <c r="E186" s="112" t="s">
        <v>241</v>
      </c>
      <c r="F186" s="112">
        <f>F183</f>
        <v>2024</v>
      </c>
      <c r="G186" s="112">
        <f t="shared" ref="G186:U186" si="59">G183</f>
        <v>2025</v>
      </c>
      <c r="H186" s="112">
        <f t="shared" si="59"/>
        <v>2026</v>
      </c>
      <c r="I186" s="112">
        <f t="shared" si="59"/>
        <v>2027</v>
      </c>
      <c r="J186" s="112">
        <f t="shared" si="59"/>
        <v>2028</v>
      </c>
      <c r="K186" s="112">
        <f t="shared" si="59"/>
        <v>2029</v>
      </c>
      <c r="L186" s="112">
        <f t="shared" si="59"/>
        <v>2030</v>
      </c>
      <c r="M186" s="112">
        <f t="shared" si="59"/>
        <v>2031</v>
      </c>
      <c r="N186" s="112">
        <f t="shared" si="59"/>
        <v>2032</v>
      </c>
      <c r="O186" s="112">
        <f t="shared" si="59"/>
        <v>2033</v>
      </c>
      <c r="P186" s="112">
        <f t="shared" si="59"/>
        <v>2034</v>
      </c>
      <c r="Q186" s="112">
        <f t="shared" si="59"/>
        <v>2035</v>
      </c>
      <c r="R186" s="112">
        <f t="shared" si="59"/>
        <v>2036</v>
      </c>
      <c r="S186" s="112">
        <f t="shared" si="59"/>
        <v>2037</v>
      </c>
      <c r="T186" s="112">
        <f t="shared" si="59"/>
        <v>2038</v>
      </c>
      <c r="U186" s="112">
        <f t="shared" si="59"/>
        <v>2039</v>
      </c>
    </row>
    <row r="187" spans="1:22" s="1" customFormat="1">
      <c r="A187" s="53"/>
      <c r="B187" s="195" t="s">
        <v>237</v>
      </c>
      <c r="C187" s="205">
        <f>AVERAGE(F188:U188)</f>
        <v>1.0142291596724555</v>
      </c>
      <c r="D187" s="201">
        <f>SUMPRODUCT(F187:U187,F188:U188)/COLUMNS(F187:U187)</f>
        <v>83852.563623230453</v>
      </c>
      <c r="E187" s="203" t="s">
        <v>236</v>
      </c>
      <c r="F187" s="196">
        <f>Założenia!E87</f>
        <v>70375.176140161158</v>
      </c>
      <c r="G187" s="196">
        <f>Założenia!F87</f>
        <v>70999.979256596489</v>
      </c>
      <c r="H187" s="196">
        <f>Założenia!G87</f>
        <v>72721.973304859785</v>
      </c>
      <c r="I187" s="196">
        <f>Założenia!H87</f>
        <v>74729.767968870379</v>
      </c>
      <c r="J187" s="196">
        <f>Założenia!I87</f>
        <v>76684.302995589824</v>
      </c>
      <c r="K187" s="196">
        <f>Założenia!J87</f>
        <v>78701.488248076756</v>
      </c>
      <c r="L187" s="196">
        <f>Założenia!K87</f>
        <v>80720.34153310649</v>
      </c>
      <c r="M187" s="196">
        <f>Założenia!L87</f>
        <v>82802.749398514468</v>
      </c>
      <c r="N187" s="196">
        <f>Założenia!M87</f>
        <v>84884.113928100123</v>
      </c>
      <c r="O187" s="196">
        <f>Założenia!N87</f>
        <v>87031.257287917542</v>
      </c>
      <c r="P187" s="196">
        <f>Założenia!O87</f>
        <v>89175.798215773451</v>
      </c>
      <c r="Q187" s="196">
        <f>Założenia!P87</f>
        <v>91385.492463993301</v>
      </c>
      <c r="R187" s="196">
        <f>Założenia!Q87</f>
        <v>93588.011536746504</v>
      </c>
      <c r="S187" s="196">
        <f>Założenia!R87</f>
        <v>95778.698632214902</v>
      </c>
      <c r="T187" s="196">
        <f>Założenia!S87</f>
        <v>97954.140826759758</v>
      </c>
      <c r="U187" s="197">
        <f>Założenia!T87</f>
        <v>100109.66610213456</v>
      </c>
      <c r="V187" s="40"/>
    </row>
    <row r="188" spans="1:22" s="1" customFormat="1" ht="13.5" thickBot="1">
      <c r="A188" s="53"/>
      <c r="B188" s="198" t="s">
        <v>238</v>
      </c>
      <c r="C188" s="206">
        <f>SUM(F188:U188)</f>
        <v>16.227666554759288</v>
      </c>
      <c r="D188" s="202">
        <f>SUMPRODUCT(F187:U187,F188:U188)</f>
        <v>1341641.0179716873</v>
      </c>
      <c r="E188" s="204" t="s">
        <v>232</v>
      </c>
      <c r="F188" s="199">
        <f t="shared" ref="F188:U188" si="60">E59</f>
        <v>1.2741841621561498</v>
      </c>
      <c r="G188" s="199">
        <f t="shared" si="60"/>
        <v>1.256852794300704</v>
      </c>
      <c r="H188" s="199">
        <f t="shared" si="60"/>
        <v>1.2524665729452582</v>
      </c>
      <c r="I188" s="199">
        <f t="shared" si="60"/>
        <v>1.2377204080752879</v>
      </c>
      <c r="J188" s="199">
        <f t="shared" si="60"/>
        <v>1.2333918550498639</v>
      </c>
      <c r="K188" s="199">
        <f t="shared" si="60"/>
        <v>1.2290633020244399</v>
      </c>
      <c r="L188" s="199">
        <f t="shared" si="60"/>
        <v>0.91870376442177593</v>
      </c>
      <c r="M188" s="199">
        <f t="shared" si="60"/>
        <v>0.91437521139635192</v>
      </c>
      <c r="N188" s="199">
        <f t="shared" si="60"/>
        <v>0.91004665837092791</v>
      </c>
      <c r="O188" s="199">
        <f t="shared" si="60"/>
        <v>0.89685596257239908</v>
      </c>
      <c r="P188" s="199">
        <f t="shared" si="60"/>
        <v>0.88366526677387014</v>
      </c>
      <c r="Q188" s="199">
        <f t="shared" si="60"/>
        <v>0.8704745709753412</v>
      </c>
      <c r="R188" s="199">
        <f t="shared" si="60"/>
        <v>0.85728387517681237</v>
      </c>
      <c r="S188" s="199">
        <f t="shared" si="60"/>
        <v>0.84409317937828332</v>
      </c>
      <c r="T188" s="199">
        <f t="shared" si="60"/>
        <v>0.8282142243323859</v>
      </c>
      <c r="U188" s="200">
        <f t="shared" si="60"/>
        <v>0.82027474680943724</v>
      </c>
      <c r="V188" s="40"/>
    </row>
    <row r="189" spans="1:22" s="1" customFormat="1" ht="13.5" thickBot="1">
      <c r="A189" s="53"/>
      <c r="B189" s="73" t="s">
        <v>121</v>
      </c>
      <c r="C189" s="112" t="s">
        <v>240</v>
      </c>
      <c r="D189" s="112" t="s">
        <v>0</v>
      </c>
      <c r="E189" s="112" t="s">
        <v>241</v>
      </c>
      <c r="F189" s="112">
        <f>F186</f>
        <v>2024</v>
      </c>
      <c r="G189" s="112">
        <f t="shared" ref="G189:U189" si="61">G186</f>
        <v>2025</v>
      </c>
      <c r="H189" s="112">
        <f t="shared" si="61"/>
        <v>2026</v>
      </c>
      <c r="I189" s="112">
        <f t="shared" si="61"/>
        <v>2027</v>
      </c>
      <c r="J189" s="112">
        <f t="shared" si="61"/>
        <v>2028</v>
      </c>
      <c r="K189" s="112">
        <f t="shared" si="61"/>
        <v>2029</v>
      </c>
      <c r="L189" s="112">
        <f t="shared" si="61"/>
        <v>2030</v>
      </c>
      <c r="M189" s="112">
        <f t="shared" si="61"/>
        <v>2031</v>
      </c>
      <c r="N189" s="112">
        <f t="shared" si="61"/>
        <v>2032</v>
      </c>
      <c r="O189" s="112">
        <f t="shared" si="61"/>
        <v>2033</v>
      </c>
      <c r="P189" s="112">
        <f t="shared" si="61"/>
        <v>2034</v>
      </c>
      <c r="Q189" s="112">
        <f t="shared" si="61"/>
        <v>2035</v>
      </c>
      <c r="R189" s="112">
        <f t="shared" si="61"/>
        <v>2036</v>
      </c>
      <c r="S189" s="112">
        <f t="shared" si="61"/>
        <v>2037</v>
      </c>
      <c r="T189" s="112">
        <f t="shared" si="61"/>
        <v>2038</v>
      </c>
      <c r="U189" s="112">
        <f t="shared" si="61"/>
        <v>2039</v>
      </c>
    </row>
    <row r="190" spans="1:22" s="1" customFormat="1">
      <c r="A190" s="53"/>
      <c r="B190" s="195" t="s">
        <v>237</v>
      </c>
      <c r="C190" s="205">
        <f>AVERAGE(F191:U191)</f>
        <v>0.24853051260942918</v>
      </c>
      <c r="D190" s="201">
        <f>SUMPRODUCT(F190:U190,F191:U191)/COLUMNS(F190:U190)</f>
        <v>976.54549509765297</v>
      </c>
      <c r="E190" s="203" t="s">
        <v>236</v>
      </c>
      <c r="F190" s="196">
        <f>Założenia!E88</f>
        <v>3351.1988638171983</v>
      </c>
      <c r="G190" s="196">
        <f>Założenia!F88</f>
        <v>3380.9513931712618</v>
      </c>
      <c r="H190" s="196">
        <f>Założenia!G88</f>
        <v>3462.9511097552281</v>
      </c>
      <c r="I190" s="196">
        <f>Założenia!H88</f>
        <v>3558.5603794700182</v>
      </c>
      <c r="J190" s="196">
        <f>Założenia!I88</f>
        <v>3651.6334759804681</v>
      </c>
      <c r="K190" s="196">
        <f>Założenia!J88</f>
        <v>3747.6899165750838</v>
      </c>
      <c r="L190" s="196">
        <f>Założenia!K88</f>
        <v>3843.8257872907852</v>
      </c>
      <c r="M190" s="196">
        <f>Założenia!L88</f>
        <v>3942.9880665959267</v>
      </c>
      <c r="N190" s="196">
        <f>Założenia!M88</f>
        <v>4042.100663242863</v>
      </c>
      <c r="O190" s="196">
        <f>Założenia!N88</f>
        <v>4144.3455851389308</v>
      </c>
      <c r="P190" s="196">
        <f>Założenia!O88</f>
        <v>4246.4665817034975</v>
      </c>
      <c r="Q190" s="196">
        <f>Założenia!P88</f>
        <v>4351.6901173330143</v>
      </c>
      <c r="R190" s="196">
        <f>Założenia!Q88</f>
        <v>4456.5719779403098</v>
      </c>
      <c r="S190" s="196">
        <f>Założenia!R88</f>
        <v>4560.8904110578533</v>
      </c>
      <c r="T190" s="196">
        <f>Założenia!S88</f>
        <v>4664.4828965123706</v>
      </c>
      <c r="U190" s="197">
        <f>Założenia!T88</f>
        <v>4767.1269572445044</v>
      </c>
      <c r="V190" s="40"/>
    </row>
    <row r="191" spans="1:22" s="1" customFormat="1" ht="13.5" thickBot="1">
      <c r="A191" s="53"/>
      <c r="B191" s="198" t="s">
        <v>238</v>
      </c>
      <c r="C191" s="206">
        <f>SUM(F191:U191)</f>
        <v>3.9764882017508669</v>
      </c>
      <c r="D191" s="202">
        <f>SUMPRODUCT(F190:U190,F191:U191)</f>
        <v>15624.727921562448</v>
      </c>
      <c r="E191" s="204" t="s">
        <v>232</v>
      </c>
      <c r="F191" s="199">
        <f t="shared" ref="F191:U191" si="62">E77</f>
        <v>0.35148493172545453</v>
      </c>
      <c r="G191" s="199">
        <f t="shared" si="62"/>
        <v>0.34777179461504837</v>
      </c>
      <c r="H191" s="199">
        <f t="shared" si="62"/>
        <v>0.34776793986714216</v>
      </c>
      <c r="I191" s="199">
        <f t="shared" si="62"/>
        <v>0.27484416532337741</v>
      </c>
      <c r="J191" s="199">
        <f t="shared" si="62"/>
        <v>0.27482044262652566</v>
      </c>
      <c r="K191" s="199">
        <f t="shared" si="62"/>
        <v>0.27479671992967392</v>
      </c>
      <c r="L191" s="199">
        <f t="shared" si="62"/>
        <v>0.21073806198328257</v>
      </c>
      <c r="M191" s="199">
        <f t="shared" si="62"/>
        <v>0.21071433928643082</v>
      </c>
      <c r="N191" s="199">
        <f t="shared" si="62"/>
        <v>0.21069061658957908</v>
      </c>
      <c r="O191" s="199">
        <f t="shared" si="62"/>
        <v>0.21062029573819713</v>
      </c>
      <c r="P191" s="199">
        <f t="shared" si="62"/>
        <v>0.21054997488681518</v>
      </c>
      <c r="Q191" s="199">
        <f t="shared" si="62"/>
        <v>0.21047965403543323</v>
      </c>
      <c r="R191" s="199">
        <f t="shared" si="62"/>
        <v>0.21040933318405128</v>
      </c>
      <c r="S191" s="199">
        <f t="shared" si="62"/>
        <v>0.2103390123326693</v>
      </c>
      <c r="T191" s="199">
        <f t="shared" si="62"/>
        <v>0.21025217031740848</v>
      </c>
      <c r="U191" s="200">
        <f t="shared" si="62"/>
        <v>0.21020874930977804</v>
      </c>
      <c r="V191" s="40"/>
    </row>
    <row r="192" spans="1:22" s="1" customFormat="1" ht="13.5" thickBot="1">
      <c r="A192" s="53"/>
      <c r="B192" s="73" t="s">
        <v>62</v>
      </c>
      <c r="C192" s="112" t="s">
        <v>240</v>
      </c>
      <c r="D192" s="112" t="s">
        <v>0</v>
      </c>
      <c r="E192" s="112" t="s">
        <v>241</v>
      </c>
      <c r="F192" s="112">
        <f>F189</f>
        <v>2024</v>
      </c>
      <c r="G192" s="112">
        <f t="shared" ref="G192:U192" si="63">G189</f>
        <v>2025</v>
      </c>
      <c r="H192" s="112">
        <f t="shared" si="63"/>
        <v>2026</v>
      </c>
      <c r="I192" s="112">
        <f t="shared" si="63"/>
        <v>2027</v>
      </c>
      <c r="J192" s="112">
        <f t="shared" si="63"/>
        <v>2028</v>
      </c>
      <c r="K192" s="112">
        <f t="shared" si="63"/>
        <v>2029</v>
      </c>
      <c r="L192" s="112">
        <f t="shared" si="63"/>
        <v>2030</v>
      </c>
      <c r="M192" s="112">
        <f t="shared" si="63"/>
        <v>2031</v>
      </c>
      <c r="N192" s="112">
        <f t="shared" si="63"/>
        <v>2032</v>
      </c>
      <c r="O192" s="112">
        <f t="shared" si="63"/>
        <v>2033</v>
      </c>
      <c r="P192" s="112">
        <f t="shared" si="63"/>
        <v>2034</v>
      </c>
      <c r="Q192" s="112">
        <f t="shared" si="63"/>
        <v>2035</v>
      </c>
      <c r="R192" s="112">
        <f t="shared" si="63"/>
        <v>2036</v>
      </c>
      <c r="S192" s="112">
        <f t="shared" si="63"/>
        <v>2037</v>
      </c>
      <c r="T192" s="112">
        <f t="shared" si="63"/>
        <v>2038</v>
      </c>
      <c r="U192" s="112">
        <f t="shared" si="63"/>
        <v>2039</v>
      </c>
    </row>
    <row r="193" spans="1:22" s="1" customFormat="1">
      <c r="A193" s="53"/>
      <c r="B193" s="195" t="s">
        <v>237</v>
      </c>
      <c r="C193" s="205">
        <f>AVERAGE(F194:U194)</f>
        <v>2.371560863418477E-2</v>
      </c>
      <c r="D193" s="201">
        <f>SUMPRODUCT(F193:U193,F194:U194)/COLUMNS(F193:U193)</f>
        <v>12260.868376383121</v>
      </c>
      <c r="E193" s="203" t="s">
        <v>236</v>
      </c>
      <c r="F193" s="196">
        <f>Założenia!E90</f>
        <v>435655.8522962358</v>
      </c>
      <c r="G193" s="196">
        <f>Założenia!F90</f>
        <v>439523.68111226405</v>
      </c>
      <c r="H193" s="196">
        <f>Założenia!G90</f>
        <v>450183.64426817966</v>
      </c>
      <c r="I193" s="196">
        <f>Założenia!H90</f>
        <v>462612.84933110233</v>
      </c>
      <c r="J193" s="196">
        <f>Założenia!I90</f>
        <v>474712.35187746084</v>
      </c>
      <c r="K193" s="196">
        <f>Założenia!J90</f>
        <v>487199.68915476091</v>
      </c>
      <c r="L193" s="196">
        <f>Założenia!K90</f>
        <v>499697.35234780208</v>
      </c>
      <c r="M193" s="196">
        <f>Założenia!L90</f>
        <v>512588.44865747046</v>
      </c>
      <c r="N193" s="196">
        <f>Założenia!M90</f>
        <v>525473.08622157213</v>
      </c>
      <c r="O193" s="196">
        <f>Założenia!N90</f>
        <v>538764.92606806091</v>
      </c>
      <c r="P193" s="196">
        <f>Założenia!O90</f>
        <v>552040.65562145459</v>
      </c>
      <c r="Q193" s="196">
        <f>Założenia!P90</f>
        <v>565719.71525329177</v>
      </c>
      <c r="R193" s="196">
        <f>Założenia!Q90</f>
        <v>579354.3571322402</v>
      </c>
      <c r="S193" s="196">
        <f>Założenia!R90</f>
        <v>592915.75343752082</v>
      </c>
      <c r="T193" s="196">
        <f>Założenia!S90</f>
        <v>606382.77654660807</v>
      </c>
      <c r="U193" s="197">
        <f>Założenia!T90</f>
        <v>619726.50444178551</v>
      </c>
      <c r="V193" s="40"/>
    </row>
    <row r="194" spans="1:22" s="1" customFormat="1" ht="13.5" thickBot="1">
      <c r="A194" s="53"/>
      <c r="B194" s="198" t="s">
        <v>238</v>
      </c>
      <c r="C194" s="206">
        <f>SUM(F194:U194)</f>
        <v>0.37944973814695632</v>
      </c>
      <c r="D194" s="202">
        <f>SUMPRODUCT(F193:U193,F194:U194)</f>
        <v>196173.89402212994</v>
      </c>
      <c r="E194" s="204" t="s">
        <v>232</v>
      </c>
      <c r="F194" s="199">
        <f>E68</f>
        <v>2.613223108032086E-2</v>
      </c>
      <c r="G194" s="199">
        <f t="shared" ref="G194:U194" si="64">F68</f>
        <v>2.5767075438371152E-2</v>
      </c>
      <c r="H194" s="199">
        <f t="shared" si="64"/>
        <v>2.5646934208921453E-2</v>
      </c>
      <c r="I194" s="199">
        <f t="shared" si="64"/>
        <v>2.603832973547654E-2</v>
      </c>
      <c r="J194" s="199">
        <f t="shared" si="64"/>
        <v>2.5920688769243947E-2</v>
      </c>
      <c r="K194" s="199">
        <f t="shared" si="64"/>
        <v>2.5803047803011354E-2</v>
      </c>
      <c r="L194" s="199">
        <f t="shared" si="64"/>
        <v>2.3628074549410405E-2</v>
      </c>
      <c r="M194" s="199">
        <f t="shared" si="64"/>
        <v>2.3510433583177812E-2</v>
      </c>
      <c r="N194" s="199">
        <f t="shared" si="64"/>
        <v>2.339279261694522E-2</v>
      </c>
      <c r="O194" s="199">
        <f t="shared" si="64"/>
        <v>2.3030382543551265E-2</v>
      </c>
      <c r="P194" s="199">
        <f t="shared" si="64"/>
        <v>2.266797247015731E-2</v>
      </c>
      <c r="Q194" s="199">
        <f t="shared" si="64"/>
        <v>2.2305562396763356E-2</v>
      </c>
      <c r="R194" s="199">
        <f t="shared" si="64"/>
        <v>2.1943152323369401E-2</v>
      </c>
      <c r="S194" s="199">
        <f t="shared" si="64"/>
        <v>2.1580742249975447E-2</v>
      </c>
      <c r="T194" s="199">
        <f t="shared" si="64"/>
        <v>2.1149075801299398E-2</v>
      </c>
      <c r="U194" s="200">
        <f t="shared" si="64"/>
        <v>2.0933242576961379E-2</v>
      </c>
      <c r="V194" s="40"/>
    </row>
    <row r="195" spans="1:22" s="1" customFormat="1">
      <c r="A195" s="53"/>
      <c r="B195" s="64"/>
      <c r="C195" s="40"/>
      <c r="D195" s="40"/>
      <c r="E195" s="40"/>
      <c r="F195" s="54"/>
      <c r="G195" s="40"/>
      <c r="H195" s="44"/>
      <c r="I195" s="45"/>
    </row>
    <row r="196" spans="1:22" s="1" customFormat="1">
      <c r="A196" s="53"/>
      <c r="B196" s="64"/>
      <c r="C196" s="40"/>
      <c r="D196" s="40"/>
      <c r="E196" s="40"/>
      <c r="F196" s="54"/>
      <c r="G196" s="40"/>
      <c r="H196" s="44"/>
      <c r="I196" s="45"/>
    </row>
    <row r="197" spans="1:22" s="1" customFormat="1">
      <c r="A197" s="53"/>
      <c r="B197" s="64"/>
      <c r="C197" s="40"/>
      <c r="D197" s="40"/>
      <c r="E197" s="40"/>
      <c r="F197" s="54"/>
      <c r="G197" s="40"/>
      <c r="H197" s="44"/>
      <c r="I197" s="45"/>
    </row>
    <row r="198" spans="1:22" s="1" customFormat="1">
      <c r="A198" s="53"/>
      <c r="B198" s="64"/>
      <c r="C198" s="40"/>
      <c r="D198" s="40"/>
      <c r="E198" s="40"/>
      <c r="F198" s="54"/>
      <c r="G198" s="40"/>
      <c r="H198" s="44"/>
      <c r="I198" s="45"/>
    </row>
    <row r="199" spans="1:22" s="1" customFormat="1">
      <c r="A199" s="53"/>
      <c r="B199" s="64"/>
      <c r="C199" s="40"/>
      <c r="D199" s="40"/>
      <c r="E199" s="40"/>
      <c r="F199" s="54"/>
      <c r="G199" s="40"/>
      <c r="H199" s="44"/>
      <c r="I199" s="45"/>
    </row>
    <row r="200" spans="1:22" s="1" customFormat="1">
      <c r="A200" s="53"/>
      <c r="B200" s="64"/>
      <c r="C200" s="40"/>
      <c r="D200" s="40"/>
      <c r="E200" s="40"/>
      <c r="F200" s="54"/>
      <c r="G200" s="40"/>
      <c r="H200" s="44"/>
      <c r="I200" s="45"/>
    </row>
    <row r="201" spans="1:22" s="1" customFormat="1">
      <c r="A201" s="53"/>
      <c r="B201" s="64"/>
      <c r="C201" s="40"/>
      <c r="D201" s="40"/>
      <c r="E201" s="40"/>
      <c r="F201" s="54"/>
      <c r="G201" s="40"/>
      <c r="H201" s="44"/>
      <c r="I201" s="45"/>
    </row>
    <row r="202" spans="1:22" s="1" customFormat="1">
      <c r="A202" s="53"/>
      <c r="B202" s="64"/>
      <c r="C202" s="40"/>
      <c r="D202" s="40"/>
      <c r="E202" s="40"/>
      <c r="F202" s="54"/>
      <c r="G202" s="40"/>
      <c r="H202" s="44"/>
      <c r="I202" s="45"/>
    </row>
    <row r="203" spans="1:22" s="1" customFormat="1">
      <c r="A203" s="53"/>
      <c r="B203" s="64"/>
      <c r="C203" s="40"/>
      <c r="D203" s="40"/>
      <c r="E203" s="40"/>
      <c r="F203" s="54"/>
      <c r="G203" s="40"/>
      <c r="H203" s="44"/>
      <c r="I203" s="45"/>
    </row>
    <row r="204" spans="1:22" s="1" customFormat="1">
      <c r="A204" s="53"/>
      <c r="B204" s="64"/>
      <c r="C204" s="40"/>
      <c r="D204" s="40"/>
      <c r="E204" s="40"/>
      <c r="F204" s="54"/>
      <c r="G204" s="40"/>
      <c r="H204" s="44"/>
      <c r="I204" s="45"/>
    </row>
    <row r="205" spans="1:22" s="1" customFormat="1">
      <c r="A205" s="69"/>
      <c r="B205" s="46"/>
      <c r="C205" s="46"/>
      <c r="D205" s="46"/>
      <c r="E205" s="46"/>
      <c r="F205" s="46"/>
      <c r="G205" s="46"/>
      <c r="H205" s="46"/>
      <c r="I205" s="46"/>
    </row>
    <row r="206" spans="1:22" s="1" customFormat="1">
      <c r="A206"/>
      <c r="B206" s="40"/>
      <c r="C206" s="40"/>
      <c r="D206" s="40"/>
      <c r="E206" s="40"/>
      <c r="F206"/>
      <c r="G206"/>
      <c r="H206"/>
      <c r="I206"/>
    </row>
    <row r="207" spans="1:22" s="1" customFormat="1">
      <c r="A207"/>
      <c r="B207"/>
      <c r="C207" s="65"/>
      <c r="D207" s="65"/>
      <c r="E207" s="66"/>
      <c r="F207" s="67"/>
      <c r="G207" s="65"/>
      <c r="H207"/>
      <c r="I207" s="68"/>
    </row>
    <row r="208" spans="1:22" s="1" customFormat="1" ht="12"/>
    <row r="209" spans="1:9" s="1" customFormat="1" ht="12"/>
    <row r="210" spans="1:9" s="1" customFormat="1" ht="30.75" customHeight="1">
      <c r="A210" s="506"/>
      <c r="B210" s="563"/>
      <c r="C210" s="563"/>
      <c r="D210" s="147"/>
      <c r="E210" s="43"/>
      <c r="F210" s="43"/>
      <c r="G210" s="43"/>
      <c r="H210" s="43"/>
      <c r="I210" s="43"/>
    </row>
    <row r="211" spans="1:9" s="1" customFormat="1">
      <c r="A211" s="55"/>
      <c r="B211" s="55"/>
      <c r="C211" s="55"/>
      <c r="D211" s="55"/>
      <c r="E211" s="55"/>
      <c r="F211" s="55"/>
      <c r="G211" s="56"/>
      <c r="H211" s="56"/>
      <c r="I211" s="510"/>
    </row>
    <row r="212" spans="1:9" s="1" customFormat="1">
      <c r="A212" s="55"/>
      <c r="B212" s="55"/>
      <c r="C212" s="55"/>
      <c r="D212" s="55"/>
      <c r="E212" s="55"/>
      <c r="F212" s="55"/>
      <c r="G212" s="56"/>
      <c r="H212" s="56"/>
      <c r="I212" s="510"/>
    </row>
    <row r="213" spans="1:9" s="1" customFormat="1">
      <c r="A213"/>
      <c r="B213"/>
      <c r="C213"/>
      <c r="D213"/>
      <c r="E213"/>
      <c r="F213"/>
      <c r="G213"/>
      <c r="H213" s="40"/>
      <c r="I213"/>
    </row>
    <row r="214" spans="1:9" s="1" customFormat="1">
      <c r="A214"/>
      <c r="B214"/>
      <c r="C214"/>
      <c r="D214"/>
      <c r="E214"/>
      <c r="F214"/>
      <c r="G214" s="47"/>
      <c r="H214" s="57"/>
      <c r="I214" s="40"/>
    </row>
    <row r="215" spans="1:9" s="1" customFormat="1">
      <c r="A215"/>
      <c r="B215"/>
      <c r="C215"/>
      <c r="D215"/>
      <c r="E215"/>
      <c r="F215"/>
      <c r="G215" s="48"/>
      <c r="H215" s="57"/>
      <c r="I215" s="40"/>
    </row>
    <row r="216" spans="1:9" s="1" customFormat="1">
      <c r="A216"/>
      <c r="B216"/>
      <c r="C216"/>
      <c r="D216"/>
      <c r="E216"/>
      <c r="F216"/>
      <c r="G216" s="49"/>
      <c r="H216" s="57"/>
      <c r="I216" s="40"/>
    </row>
    <row r="217" spans="1:9" s="1" customFormat="1">
      <c r="A217"/>
      <c r="B217"/>
      <c r="C217"/>
      <c r="D217"/>
      <c r="E217"/>
      <c r="F217"/>
      <c r="G217" s="49"/>
      <c r="H217" s="57"/>
      <c r="I217" s="40"/>
    </row>
    <row r="218" spans="1:9" s="1" customFormat="1">
      <c r="A218"/>
      <c r="B218"/>
      <c r="C218"/>
      <c r="D218"/>
      <c r="E218"/>
      <c r="F218"/>
      <c r="G218" s="49"/>
      <c r="H218" s="57"/>
      <c r="I218" s="40"/>
    </row>
    <row r="219" spans="1:9" s="1" customFormat="1">
      <c r="A219"/>
      <c r="B219"/>
      <c r="C219"/>
      <c r="D219"/>
      <c r="E219"/>
      <c r="F219"/>
      <c r="G219" s="49"/>
      <c r="H219" s="57"/>
      <c r="I219" s="40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 s="55"/>
      <c r="B221" s="55"/>
      <c r="C221" s="55"/>
      <c r="D221" s="55"/>
      <c r="E221" s="55"/>
      <c r="F221" s="55"/>
      <c r="G221" s="509"/>
      <c r="H221" s="58"/>
      <c r="I221" s="58"/>
    </row>
    <row r="222" spans="1:9" s="1" customFormat="1">
      <c r="A222" s="55"/>
      <c r="B222" s="55"/>
      <c r="C222" s="55"/>
      <c r="D222" s="55"/>
      <c r="E222" s="55"/>
      <c r="F222" s="55"/>
      <c r="G222" s="509"/>
      <c r="H222" s="58"/>
      <c r="I222" s="58"/>
    </row>
    <row r="223" spans="1:9" s="1" customFormat="1">
      <c r="A223" s="50"/>
      <c r="B223"/>
      <c r="C223" s="51"/>
      <c r="D223" s="51"/>
      <c r="E223" s="51"/>
      <c r="F223"/>
      <c r="G223" s="51"/>
      <c r="H223" s="59"/>
      <c r="I223" s="40"/>
    </row>
    <row r="224" spans="1:9" s="1" customFormat="1">
      <c r="A224"/>
      <c r="B224"/>
      <c r="C224"/>
      <c r="D224"/>
      <c r="E224"/>
      <c r="F224"/>
      <c r="G224" s="40"/>
      <c r="H224" s="40"/>
      <c r="I224" s="57"/>
    </row>
    <row r="225" spans="1:9" s="1" customFormat="1">
      <c r="A225"/>
      <c r="B225"/>
      <c r="C225"/>
      <c r="D225"/>
      <c r="E225"/>
      <c r="F225"/>
      <c r="G225" s="57"/>
      <c r="H225" s="40"/>
      <c r="I225" s="40"/>
    </row>
    <row r="226" spans="1:9" s="1" customFormat="1">
      <c r="A226"/>
      <c r="B226"/>
      <c r="C226"/>
      <c r="D226"/>
      <c r="E226"/>
      <c r="F226"/>
      <c r="G226" s="38"/>
      <c r="H226" s="40"/>
      <c r="I226" s="40"/>
    </row>
    <row r="227" spans="1:9" s="1" customFormat="1">
      <c r="A227"/>
      <c r="B227"/>
      <c r="C227"/>
      <c r="D227"/>
      <c r="E227"/>
      <c r="F227"/>
      <c r="G227" s="60"/>
      <c r="H227" s="40"/>
      <c r="I227" s="40"/>
    </row>
    <row r="228" spans="1:9" s="1" customFormat="1">
      <c r="A228"/>
      <c r="B228"/>
      <c r="C228"/>
      <c r="D228"/>
      <c r="E228"/>
      <c r="F228" s="40"/>
      <c r="G228"/>
      <c r="H228"/>
      <c r="I228"/>
    </row>
    <row r="229" spans="1:9" s="1" customFormat="1">
      <c r="A229" s="52"/>
      <c r="B229"/>
      <c r="C229"/>
      <c r="D229"/>
      <c r="E229"/>
      <c r="F229" s="40"/>
      <c r="G229"/>
      <c r="H229"/>
      <c r="I229"/>
    </row>
    <row r="230" spans="1:9" s="1" customFormat="1">
      <c r="A230"/>
      <c r="B230" s="61"/>
      <c r="C230"/>
      <c r="D230"/>
      <c r="E230"/>
      <c r="F230"/>
      <c r="G230"/>
      <c r="H230"/>
      <c r="I230"/>
    </row>
    <row r="231" spans="1:9" s="1" customFormat="1">
      <c r="A231" s="507"/>
      <c r="B231" s="62"/>
      <c r="C231" s="62"/>
      <c r="D231" s="62"/>
      <c r="E231" s="507"/>
      <c r="F231" s="507"/>
      <c r="G231" s="507"/>
      <c r="H231" s="507"/>
      <c r="I231" s="507"/>
    </row>
    <row r="232" spans="1:9" s="1" customFormat="1">
      <c r="A232" s="507"/>
      <c r="B232" s="62"/>
      <c r="C232" s="62"/>
      <c r="D232" s="62"/>
      <c r="E232" s="62"/>
      <c r="F232" s="62"/>
      <c r="G232" s="508"/>
      <c r="H232" s="508"/>
      <c r="I232" s="508"/>
    </row>
    <row r="233" spans="1:9" s="1" customFormat="1">
      <c r="A233" s="53"/>
      <c r="B233" s="63"/>
      <c r="C233" s="40"/>
      <c r="D233" s="40"/>
      <c r="E233" s="40"/>
      <c r="F233" s="54"/>
      <c r="G233" s="40"/>
      <c r="H233" s="40"/>
      <c r="I233" s="45"/>
    </row>
    <row r="234" spans="1:9" s="1" customFormat="1">
      <c r="A234" s="53"/>
      <c r="B234" s="63"/>
      <c r="C234" s="40"/>
      <c r="D234" s="40"/>
      <c r="E234" s="40"/>
      <c r="F234" s="54"/>
      <c r="G234" s="40"/>
      <c r="H234" s="44"/>
      <c r="I234" s="45"/>
    </row>
    <row r="235" spans="1:9" s="1" customFormat="1">
      <c r="A235" s="53"/>
      <c r="B235" s="63"/>
      <c r="C235" s="40"/>
      <c r="D235" s="40"/>
      <c r="E235" s="40"/>
      <c r="F235" s="54"/>
      <c r="G235" s="40"/>
      <c r="H235" s="44"/>
      <c r="I235"/>
    </row>
    <row r="236" spans="1:9" s="1" customFormat="1">
      <c r="A236" s="53"/>
      <c r="B236" s="63"/>
      <c r="C236" s="40"/>
      <c r="D236" s="40"/>
      <c r="E236" s="40"/>
      <c r="F236" s="54"/>
      <c r="G236" s="40"/>
      <c r="H236" s="44"/>
      <c r="I236" s="45"/>
    </row>
    <row r="237" spans="1:9" s="1" customFormat="1">
      <c r="A237" s="53"/>
      <c r="B237" s="64"/>
      <c r="C237" s="40"/>
      <c r="D237" s="40"/>
      <c r="E237" s="40"/>
      <c r="F237" s="54"/>
      <c r="G237" s="40"/>
      <c r="H237" s="44"/>
      <c r="I237" s="45"/>
    </row>
    <row r="238" spans="1:9" s="1" customFormat="1">
      <c r="A238" s="53"/>
      <c r="B238" s="64"/>
      <c r="C238" s="40"/>
      <c r="D238" s="40"/>
      <c r="E238" s="40"/>
      <c r="F238" s="54"/>
      <c r="G238" s="40"/>
      <c r="H238" s="44"/>
      <c r="I238" s="45"/>
    </row>
    <row r="239" spans="1:9" s="1" customFormat="1">
      <c r="A239" s="53"/>
      <c r="B239" s="64"/>
      <c r="C239" s="40"/>
      <c r="D239" s="40"/>
      <c r="E239" s="40"/>
      <c r="F239" s="54"/>
      <c r="G239" s="40"/>
      <c r="H239" s="44"/>
      <c r="I239" s="45"/>
    </row>
    <row r="240" spans="1:9" s="1" customFormat="1">
      <c r="A240" s="53"/>
      <c r="B240" s="64"/>
      <c r="C240" s="40"/>
      <c r="D240" s="40"/>
      <c r="E240" s="40"/>
      <c r="F240" s="54"/>
      <c r="G240" s="40"/>
      <c r="H240" s="44"/>
      <c r="I240" s="45"/>
    </row>
    <row r="241" spans="1:9" s="1" customFormat="1">
      <c r="A241" s="53"/>
      <c r="B241" s="64"/>
      <c r="C241" s="40"/>
      <c r="D241" s="40"/>
      <c r="E241" s="40"/>
      <c r="F241" s="54"/>
      <c r="G241" s="40"/>
      <c r="H241" s="44"/>
      <c r="I241" s="45"/>
    </row>
    <row r="242" spans="1:9" s="1" customFormat="1">
      <c r="A242" s="53"/>
      <c r="B242" s="64"/>
      <c r="C242" s="40"/>
      <c r="D242" s="40"/>
      <c r="E242" s="40"/>
      <c r="F242" s="54"/>
      <c r="G242" s="40"/>
      <c r="H242" s="44"/>
      <c r="I242" s="45"/>
    </row>
    <row r="243" spans="1:9" s="1" customFormat="1">
      <c r="A243" s="53"/>
      <c r="B243" s="64"/>
      <c r="C243" s="40"/>
      <c r="D243" s="40"/>
      <c r="E243" s="40"/>
      <c r="F243" s="54"/>
      <c r="G243" s="40"/>
      <c r="H243" s="44"/>
      <c r="I243" s="45"/>
    </row>
    <row r="244" spans="1:9" s="1" customFormat="1">
      <c r="A244" s="53"/>
      <c r="B244" s="64"/>
      <c r="C244" s="40"/>
      <c r="D244" s="40"/>
      <c r="E244" s="40"/>
      <c r="F244" s="54"/>
      <c r="G244" s="40"/>
      <c r="H244" s="44"/>
      <c r="I244" s="45"/>
    </row>
    <row r="245" spans="1:9" s="1" customFormat="1">
      <c r="A245" s="53"/>
      <c r="B245" s="64"/>
      <c r="C245" s="40"/>
      <c r="D245" s="40"/>
      <c r="E245" s="40"/>
      <c r="F245" s="54"/>
      <c r="G245" s="40"/>
      <c r="H245" s="44"/>
      <c r="I245" s="45"/>
    </row>
    <row r="246" spans="1:9" s="1" customFormat="1">
      <c r="A246" s="53"/>
      <c r="B246" s="64"/>
      <c r="C246" s="40"/>
      <c r="D246" s="40"/>
      <c r="E246" s="40"/>
      <c r="F246" s="54"/>
      <c r="G246" s="40"/>
      <c r="H246" s="44"/>
      <c r="I246" s="45"/>
    </row>
    <row r="247" spans="1:9" s="1" customFormat="1">
      <c r="A247" s="53"/>
      <c r="B247" s="64"/>
      <c r="C247" s="40"/>
      <c r="D247" s="40"/>
      <c r="E247" s="40"/>
      <c r="F247" s="54"/>
      <c r="G247" s="40"/>
      <c r="H247" s="44"/>
      <c r="I247" s="45"/>
    </row>
    <row r="248" spans="1:9" s="1" customFormat="1">
      <c r="A248" s="53"/>
      <c r="B248" s="64"/>
      <c r="C248" s="40"/>
      <c r="D248" s="40"/>
      <c r="E248" s="40"/>
      <c r="F248" s="54"/>
      <c r="G248" s="40"/>
      <c r="H248" s="44"/>
      <c r="I248" s="45"/>
    </row>
    <row r="249" spans="1:9" s="1" customFormat="1">
      <c r="A249" s="53"/>
      <c r="B249" s="64"/>
      <c r="C249" s="40"/>
      <c r="D249" s="40"/>
      <c r="E249" s="40"/>
      <c r="F249" s="54"/>
      <c r="G249" s="40"/>
      <c r="H249" s="44"/>
      <c r="I249" s="45"/>
    </row>
    <row r="250" spans="1:9" s="1" customFormat="1">
      <c r="A250" s="53"/>
      <c r="B250" s="64"/>
      <c r="C250" s="40"/>
      <c r="D250" s="40"/>
      <c r="E250" s="40"/>
      <c r="F250" s="54"/>
      <c r="G250" s="40"/>
      <c r="H250" s="44"/>
      <c r="I250" s="45"/>
    </row>
    <row r="251" spans="1:9" s="1" customFormat="1">
      <c r="A251" s="53"/>
      <c r="B251" s="64"/>
      <c r="C251" s="40"/>
      <c r="D251" s="40"/>
      <c r="E251" s="40"/>
      <c r="F251" s="54"/>
      <c r="G251" s="40"/>
      <c r="H251" s="44"/>
      <c r="I251" s="45"/>
    </row>
    <row r="252" spans="1:9" s="1" customFormat="1">
      <c r="A252" s="53"/>
      <c r="B252" s="64"/>
      <c r="C252" s="40"/>
      <c r="D252" s="40"/>
      <c r="E252" s="40"/>
      <c r="F252" s="54"/>
      <c r="G252" s="40"/>
      <c r="H252" s="44"/>
      <c r="I252" s="45"/>
    </row>
    <row r="253" spans="1:9" s="1" customFormat="1">
      <c r="A253" s="53"/>
      <c r="B253" s="64"/>
      <c r="C253" s="40"/>
      <c r="D253" s="40"/>
      <c r="E253" s="40"/>
      <c r="F253" s="54"/>
      <c r="G253" s="40"/>
      <c r="H253" s="44"/>
      <c r="I253" s="45"/>
    </row>
    <row r="254" spans="1:9" s="1" customFormat="1">
      <c r="A254" s="53"/>
      <c r="B254" s="64"/>
      <c r="C254" s="40"/>
      <c r="D254" s="40"/>
      <c r="E254" s="40"/>
      <c r="F254" s="54"/>
      <c r="G254" s="40"/>
      <c r="H254" s="44"/>
      <c r="I254" s="45"/>
    </row>
    <row r="255" spans="1:9" s="1" customFormat="1">
      <c r="A255" s="53"/>
      <c r="B255" s="64"/>
      <c r="C255" s="40"/>
      <c r="D255" s="40"/>
      <c r="E255" s="40"/>
      <c r="F255" s="54"/>
      <c r="G255" s="40"/>
      <c r="H255" s="44"/>
      <c r="I255" s="45"/>
    </row>
    <row r="256" spans="1:9" s="1" customFormat="1">
      <c r="A256" s="53"/>
      <c r="B256" s="64"/>
      <c r="C256" s="40"/>
      <c r="D256" s="40"/>
      <c r="E256" s="40"/>
      <c r="F256" s="54"/>
      <c r="G256" s="40"/>
      <c r="H256" s="44"/>
      <c r="I256" s="45"/>
    </row>
    <row r="257" spans="1:9" s="1" customFormat="1">
      <c r="A257" s="53"/>
      <c r="B257" s="64"/>
      <c r="C257" s="40"/>
      <c r="D257" s="40"/>
      <c r="E257" s="40"/>
      <c r="F257" s="54"/>
      <c r="G257" s="40"/>
      <c r="H257" s="44"/>
      <c r="I257" s="45"/>
    </row>
    <row r="258" spans="1:9" s="1" customFormat="1">
      <c r="A258" s="69"/>
      <c r="B258" s="46"/>
      <c r="C258" s="46"/>
      <c r="D258" s="46"/>
      <c r="E258" s="46"/>
      <c r="F258" s="46"/>
      <c r="G258" s="46"/>
      <c r="H258" s="46"/>
      <c r="I258" s="46"/>
    </row>
    <row r="259" spans="1:9" s="1" customFormat="1">
      <c r="A259"/>
      <c r="B259" s="40"/>
      <c r="C259" s="40"/>
      <c r="D259" s="40"/>
      <c r="E259" s="40"/>
      <c r="F259"/>
      <c r="G259"/>
      <c r="H259"/>
      <c r="I259"/>
    </row>
    <row r="260" spans="1:9" s="1" customFormat="1">
      <c r="A260"/>
      <c r="B260"/>
      <c r="C260" s="65"/>
      <c r="D260" s="65"/>
      <c r="E260" s="66"/>
      <c r="F260" s="67"/>
      <c r="G260" s="65"/>
      <c r="H260"/>
      <c r="I260" s="68"/>
    </row>
    <row r="261" spans="1:9" s="1" customFormat="1" ht="12"/>
    <row r="262" spans="1:9" s="1" customFormat="1" ht="20.25">
      <c r="A262" s="42"/>
      <c r="B262" s="41"/>
      <c r="G262" s="43"/>
      <c r="H262" s="43"/>
      <c r="I262" s="43"/>
    </row>
    <row r="263" spans="1:9" s="1" customFormat="1" ht="20.25">
      <c r="A263" s="43"/>
      <c r="B263" s="43"/>
      <c r="C263" s="43"/>
      <c r="D263" s="43"/>
      <c r="E263" s="43"/>
      <c r="F263" s="43"/>
      <c r="G263" s="43"/>
      <c r="H263" s="43"/>
      <c r="I263" s="43"/>
    </row>
    <row r="264" spans="1:9" s="1" customFormat="1" ht="33" customHeight="1">
      <c r="A264" s="506"/>
      <c r="B264" s="563"/>
      <c r="C264" s="563"/>
      <c r="D264" s="147"/>
      <c r="E264" s="43"/>
      <c r="F264" s="43"/>
      <c r="G264" s="43"/>
      <c r="H264" s="43"/>
      <c r="I264" s="43"/>
    </row>
    <row r="265" spans="1:9" s="1" customFormat="1">
      <c r="A265" s="55"/>
      <c r="B265" s="55"/>
      <c r="C265" s="55"/>
      <c r="D265" s="55"/>
      <c r="E265" s="55"/>
      <c r="F265" s="55"/>
      <c r="G265" s="56"/>
      <c r="H265" s="56"/>
      <c r="I265" s="510"/>
    </row>
    <row r="266" spans="1:9" s="1" customFormat="1">
      <c r="A266" s="55"/>
      <c r="B266" s="55"/>
      <c r="C266" s="55"/>
      <c r="D266" s="55"/>
      <c r="E266" s="55"/>
      <c r="F266" s="55"/>
      <c r="G266" s="56"/>
      <c r="H266" s="56"/>
      <c r="I266" s="510"/>
    </row>
    <row r="267" spans="1:9" s="1" customFormat="1">
      <c r="A267"/>
      <c r="B267"/>
      <c r="C267"/>
      <c r="D267"/>
      <c r="E267"/>
      <c r="F267"/>
      <c r="G267"/>
      <c r="H267" s="40"/>
      <c r="I267"/>
    </row>
    <row r="268" spans="1:9" s="1" customFormat="1">
      <c r="A268"/>
      <c r="B268"/>
      <c r="C268"/>
      <c r="D268"/>
      <c r="E268"/>
      <c r="F268"/>
      <c r="G268" s="47"/>
      <c r="H268" s="57"/>
      <c r="I268" s="40"/>
    </row>
    <row r="269" spans="1:9" s="1" customFormat="1">
      <c r="A269"/>
      <c r="B269"/>
      <c r="C269"/>
      <c r="D269"/>
      <c r="E269"/>
      <c r="F269"/>
      <c r="G269" s="48"/>
      <c r="H269" s="57"/>
      <c r="I269" s="40"/>
    </row>
    <row r="270" spans="1:9" s="1" customFormat="1">
      <c r="A270"/>
      <c r="B270"/>
      <c r="C270"/>
      <c r="D270"/>
      <c r="E270"/>
      <c r="F270"/>
      <c r="G270" s="49"/>
      <c r="H270" s="57"/>
      <c r="I270" s="40"/>
    </row>
    <row r="271" spans="1:9" s="1" customFormat="1">
      <c r="A271"/>
      <c r="B271"/>
      <c r="C271"/>
      <c r="D271"/>
      <c r="E271"/>
      <c r="F271"/>
      <c r="G271" s="49"/>
      <c r="H271" s="57"/>
      <c r="I271" s="40"/>
    </row>
    <row r="272" spans="1:9" s="1" customFormat="1">
      <c r="A272"/>
      <c r="B272"/>
      <c r="C272"/>
      <c r="D272"/>
      <c r="E272"/>
      <c r="F272"/>
      <c r="G272" s="49"/>
      <c r="H272" s="57"/>
      <c r="I272" s="40"/>
    </row>
    <row r="273" spans="1:9" s="1" customFormat="1">
      <c r="A273"/>
      <c r="B273"/>
      <c r="C273"/>
      <c r="D273"/>
      <c r="E273"/>
      <c r="F273"/>
      <c r="G273" s="49"/>
      <c r="H273" s="57"/>
      <c r="I273" s="40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 s="55"/>
      <c r="B275" s="55"/>
      <c r="C275" s="55"/>
      <c r="D275" s="55"/>
      <c r="E275" s="55"/>
      <c r="F275" s="55"/>
      <c r="G275" s="509"/>
      <c r="H275" s="58"/>
      <c r="I275" s="58"/>
    </row>
    <row r="276" spans="1:9" s="1" customFormat="1">
      <c r="A276" s="55"/>
      <c r="B276" s="55"/>
      <c r="C276" s="55"/>
      <c r="D276" s="55"/>
      <c r="E276" s="55"/>
      <c r="F276" s="55"/>
      <c r="G276" s="509"/>
      <c r="H276" s="58"/>
      <c r="I276" s="58"/>
    </row>
    <row r="277" spans="1:9" s="1" customFormat="1">
      <c r="A277" s="50"/>
      <c r="B277"/>
      <c r="C277" s="51"/>
      <c r="D277" s="51"/>
      <c r="E277" s="51"/>
      <c r="F277"/>
      <c r="G277" s="51"/>
      <c r="H277" s="59"/>
      <c r="I277" s="40"/>
    </row>
    <row r="278" spans="1:9" s="1" customFormat="1">
      <c r="A278"/>
      <c r="B278"/>
      <c r="C278"/>
      <c r="D278"/>
      <c r="E278"/>
      <c r="F278"/>
      <c r="G278" s="40"/>
      <c r="H278" s="40"/>
      <c r="I278" s="57"/>
    </row>
    <row r="279" spans="1:9" s="1" customFormat="1">
      <c r="A279"/>
      <c r="B279"/>
      <c r="C279"/>
      <c r="D279"/>
      <c r="E279"/>
      <c r="F279"/>
      <c r="G279" s="57"/>
      <c r="H279" s="40"/>
      <c r="I279" s="40"/>
    </row>
    <row r="280" spans="1:9" s="1" customFormat="1">
      <c r="A280"/>
      <c r="B280"/>
      <c r="C280"/>
      <c r="D280"/>
      <c r="E280"/>
      <c r="F280"/>
      <c r="G280" s="38"/>
      <c r="H280" s="40"/>
      <c r="I280" s="40"/>
    </row>
    <row r="281" spans="1:9" s="1" customFormat="1">
      <c r="A281"/>
      <c r="B281"/>
      <c r="C281"/>
      <c r="D281"/>
      <c r="E281"/>
      <c r="F281"/>
      <c r="G281" s="60"/>
      <c r="H281" s="40"/>
      <c r="I281" s="40"/>
    </row>
    <row r="282" spans="1:9" s="1" customFormat="1">
      <c r="A282"/>
      <c r="B282"/>
      <c r="C282"/>
      <c r="D282"/>
      <c r="E282"/>
      <c r="F282" s="40"/>
      <c r="G282"/>
      <c r="H282"/>
      <c r="I282"/>
    </row>
    <row r="283" spans="1:9" s="1" customFormat="1">
      <c r="A283" s="52"/>
      <c r="B283"/>
      <c r="C283"/>
      <c r="D283"/>
      <c r="E283"/>
      <c r="F283" s="40"/>
      <c r="G283"/>
      <c r="H283"/>
      <c r="I283"/>
    </row>
    <row r="284" spans="1:9" s="1" customFormat="1">
      <c r="A284"/>
      <c r="B284" s="61"/>
      <c r="C284"/>
      <c r="D284"/>
      <c r="E284"/>
      <c r="F284"/>
      <c r="G284"/>
      <c r="H284"/>
      <c r="I284"/>
    </row>
    <row r="285" spans="1:9" s="1" customFormat="1">
      <c r="A285" s="507"/>
      <c r="B285" s="62"/>
      <c r="C285" s="62"/>
      <c r="D285" s="62"/>
      <c r="E285" s="507"/>
      <c r="F285" s="507"/>
      <c r="G285" s="507"/>
      <c r="H285" s="507"/>
      <c r="I285" s="507"/>
    </row>
    <row r="286" spans="1:9" s="1" customFormat="1">
      <c r="A286" s="507"/>
      <c r="B286" s="62"/>
      <c r="C286" s="62"/>
      <c r="D286" s="62"/>
      <c r="E286" s="62"/>
      <c r="F286" s="62"/>
      <c r="G286" s="508"/>
      <c r="H286" s="508"/>
      <c r="I286" s="508"/>
    </row>
    <row r="287" spans="1:9" s="1" customFormat="1">
      <c r="A287" s="53"/>
      <c r="B287" s="63"/>
      <c r="C287" s="40"/>
      <c r="D287" s="40"/>
      <c r="E287" s="40"/>
      <c r="F287" s="54"/>
      <c r="G287" s="40"/>
      <c r="H287" s="40"/>
      <c r="I287" s="45"/>
    </row>
    <row r="288" spans="1:9" s="1" customFormat="1">
      <c r="A288" s="53"/>
      <c r="B288" s="63"/>
      <c r="C288" s="40"/>
      <c r="D288" s="40"/>
      <c r="E288" s="40"/>
      <c r="F288" s="54"/>
      <c r="G288" s="40"/>
      <c r="H288" s="44"/>
      <c r="I288" s="45"/>
    </row>
    <row r="289" spans="1:9" s="1" customFormat="1">
      <c r="A289" s="53"/>
      <c r="B289" s="63"/>
      <c r="C289" s="40"/>
      <c r="D289" s="40"/>
      <c r="E289" s="40"/>
      <c r="F289" s="54"/>
      <c r="G289" s="40"/>
      <c r="H289" s="44"/>
      <c r="I289"/>
    </row>
    <row r="290" spans="1:9" s="1" customFormat="1">
      <c r="A290" s="53"/>
      <c r="B290" s="63"/>
      <c r="C290" s="40"/>
      <c r="D290" s="40"/>
      <c r="E290" s="40"/>
      <c r="F290" s="54"/>
      <c r="G290" s="40"/>
      <c r="H290" s="44"/>
      <c r="I290" s="45"/>
    </row>
    <row r="291" spans="1:9" s="1" customFormat="1">
      <c r="A291" s="53"/>
      <c r="B291" s="64"/>
      <c r="C291" s="40"/>
      <c r="D291" s="40"/>
      <c r="E291" s="40"/>
      <c r="F291" s="54"/>
      <c r="G291" s="40"/>
      <c r="H291" s="44"/>
      <c r="I291" s="45"/>
    </row>
    <row r="292" spans="1:9" s="1" customFormat="1">
      <c r="A292" s="53"/>
      <c r="B292" s="64"/>
      <c r="C292" s="40"/>
      <c r="D292" s="40"/>
      <c r="E292" s="40"/>
      <c r="F292" s="54"/>
      <c r="G292" s="40"/>
      <c r="H292" s="44"/>
      <c r="I292" s="45"/>
    </row>
    <row r="293" spans="1:9" s="1" customFormat="1">
      <c r="A293" s="53"/>
      <c r="B293" s="64"/>
      <c r="C293" s="40"/>
      <c r="D293" s="40"/>
      <c r="E293" s="40"/>
      <c r="F293" s="54"/>
      <c r="G293" s="40"/>
      <c r="H293" s="44"/>
      <c r="I293" s="45"/>
    </row>
    <row r="294" spans="1:9" s="1" customFormat="1">
      <c r="A294" s="53"/>
      <c r="B294" s="64"/>
      <c r="C294" s="40"/>
      <c r="D294" s="40"/>
      <c r="E294" s="40"/>
      <c r="F294" s="54"/>
      <c r="G294" s="40"/>
      <c r="H294" s="44"/>
      <c r="I294" s="45"/>
    </row>
    <row r="295" spans="1:9" s="1" customFormat="1">
      <c r="A295" s="53"/>
      <c r="B295" s="64"/>
      <c r="C295" s="40"/>
      <c r="D295" s="40"/>
      <c r="E295" s="40"/>
      <c r="F295" s="54"/>
      <c r="G295" s="40"/>
      <c r="H295" s="44"/>
      <c r="I295" s="45"/>
    </row>
    <row r="296" spans="1:9" s="1" customFormat="1">
      <c r="A296" s="53"/>
      <c r="B296" s="64"/>
      <c r="C296" s="40"/>
      <c r="D296" s="40"/>
      <c r="E296" s="40"/>
      <c r="F296" s="54"/>
      <c r="G296" s="40"/>
      <c r="H296" s="44"/>
      <c r="I296" s="45"/>
    </row>
    <row r="297" spans="1:9" s="1" customFormat="1">
      <c r="A297" s="53"/>
      <c r="B297" s="64"/>
      <c r="C297" s="40"/>
      <c r="D297" s="40"/>
      <c r="E297" s="40"/>
      <c r="F297" s="54"/>
      <c r="G297" s="40"/>
      <c r="H297" s="44"/>
      <c r="I297" s="45"/>
    </row>
    <row r="298" spans="1:9" s="1" customFormat="1">
      <c r="A298" s="53"/>
      <c r="B298" s="64"/>
      <c r="C298" s="40"/>
      <c r="D298" s="40"/>
      <c r="E298" s="40"/>
      <c r="F298" s="54"/>
      <c r="G298" s="40"/>
      <c r="H298" s="44"/>
      <c r="I298" s="45"/>
    </row>
    <row r="299" spans="1:9" s="1" customFormat="1">
      <c r="A299" s="53"/>
      <c r="B299" s="64"/>
      <c r="C299" s="40"/>
      <c r="D299" s="40"/>
      <c r="E299" s="40"/>
      <c r="F299" s="54"/>
      <c r="G299" s="40"/>
      <c r="H299" s="44"/>
      <c r="I299" s="45"/>
    </row>
    <row r="300" spans="1:9" s="1" customFormat="1">
      <c r="A300" s="53"/>
      <c r="B300" s="64"/>
      <c r="C300" s="40"/>
      <c r="D300" s="40"/>
      <c r="E300" s="40"/>
      <c r="F300" s="54"/>
      <c r="G300" s="40"/>
      <c r="H300" s="44"/>
      <c r="I300" s="45"/>
    </row>
    <row r="301" spans="1:9" s="1" customFormat="1">
      <c r="A301" s="53"/>
      <c r="B301" s="64"/>
      <c r="C301" s="40"/>
      <c r="D301" s="40"/>
      <c r="E301" s="40"/>
      <c r="F301" s="54"/>
      <c r="G301" s="40"/>
      <c r="H301" s="44"/>
      <c r="I301" s="45"/>
    </row>
    <row r="302" spans="1:9" s="1" customFormat="1">
      <c r="A302" s="53"/>
      <c r="B302" s="64"/>
      <c r="C302" s="40"/>
      <c r="D302" s="40"/>
      <c r="E302" s="40"/>
      <c r="F302" s="54"/>
      <c r="G302" s="40"/>
      <c r="H302" s="44"/>
      <c r="I302" s="45"/>
    </row>
    <row r="303" spans="1:9" s="1" customFormat="1">
      <c r="A303" s="53"/>
      <c r="B303" s="64"/>
      <c r="C303" s="40"/>
      <c r="D303" s="40"/>
      <c r="E303" s="40"/>
      <c r="F303" s="54"/>
      <c r="G303" s="40"/>
      <c r="H303" s="44"/>
      <c r="I303" s="45"/>
    </row>
    <row r="304" spans="1:9" s="1" customFormat="1">
      <c r="A304" s="53"/>
      <c r="B304" s="64"/>
      <c r="C304" s="40"/>
      <c r="D304" s="40"/>
      <c r="E304" s="40"/>
      <c r="F304" s="54"/>
      <c r="G304" s="40"/>
      <c r="H304" s="44"/>
      <c r="I304" s="45"/>
    </row>
    <row r="305" spans="1:9" s="1" customFormat="1">
      <c r="A305" s="53"/>
      <c r="B305" s="64"/>
      <c r="C305" s="40"/>
      <c r="D305" s="40"/>
      <c r="E305" s="40"/>
      <c r="F305" s="54"/>
      <c r="G305" s="40"/>
      <c r="H305" s="44"/>
      <c r="I305" s="45"/>
    </row>
    <row r="306" spans="1:9" s="1" customFormat="1">
      <c r="A306" s="53"/>
      <c r="B306" s="64"/>
      <c r="C306" s="40"/>
      <c r="D306" s="40"/>
      <c r="E306" s="40"/>
      <c r="F306" s="54"/>
      <c r="G306" s="40"/>
      <c r="H306" s="44"/>
      <c r="I306" s="45"/>
    </row>
    <row r="307" spans="1:9" s="1" customFormat="1">
      <c r="A307" s="53"/>
      <c r="B307" s="64"/>
      <c r="C307" s="40"/>
      <c r="D307" s="40"/>
      <c r="E307" s="40"/>
      <c r="F307" s="54"/>
      <c r="G307" s="40"/>
      <c r="H307" s="44"/>
      <c r="I307" s="45"/>
    </row>
    <row r="308" spans="1:9" s="1" customFormat="1">
      <c r="A308" s="53"/>
      <c r="B308" s="64"/>
      <c r="C308" s="40"/>
      <c r="D308" s="40"/>
      <c r="E308" s="40"/>
      <c r="F308" s="54"/>
      <c r="G308" s="40"/>
      <c r="H308" s="44"/>
      <c r="I308" s="45"/>
    </row>
    <row r="309" spans="1:9" s="1" customFormat="1">
      <c r="A309" s="53"/>
      <c r="B309" s="64"/>
      <c r="C309" s="40"/>
      <c r="D309" s="40"/>
      <c r="E309" s="40"/>
      <c r="F309" s="54"/>
      <c r="G309" s="40"/>
      <c r="H309" s="44"/>
      <c r="I309" s="45"/>
    </row>
    <row r="310" spans="1:9" s="1" customFormat="1">
      <c r="A310" s="53"/>
      <c r="B310" s="64"/>
      <c r="C310" s="40"/>
      <c r="D310" s="40"/>
      <c r="E310" s="40"/>
      <c r="F310" s="54"/>
      <c r="G310" s="40"/>
      <c r="H310" s="44"/>
      <c r="I310" s="45"/>
    </row>
    <row r="311" spans="1:9" s="1" customFormat="1">
      <c r="A311" s="53"/>
      <c r="B311" s="64"/>
      <c r="C311" s="40"/>
      <c r="D311" s="40"/>
      <c r="E311" s="40"/>
      <c r="F311" s="54"/>
      <c r="G311" s="40"/>
      <c r="H311" s="44"/>
      <c r="I311" s="45"/>
    </row>
    <row r="312" spans="1:9" s="1" customFormat="1">
      <c r="A312" s="69"/>
      <c r="B312" s="46"/>
      <c r="C312" s="46"/>
      <c r="D312" s="46"/>
      <c r="E312" s="46"/>
      <c r="F312" s="46"/>
      <c r="G312" s="46"/>
      <c r="H312" s="46"/>
      <c r="I312" s="46"/>
    </row>
    <row r="313" spans="1:9" s="1" customFormat="1">
      <c r="A313"/>
      <c r="B313" s="40"/>
      <c r="C313" s="40"/>
      <c r="D313" s="40"/>
      <c r="E313" s="40"/>
      <c r="F313"/>
      <c r="G313"/>
      <c r="H313"/>
      <c r="I313"/>
    </row>
    <row r="314" spans="1:9" s="1" customFormat="1">
      <c r="A314"/>
      <c r="B314"/>
      <c r="C314" s="65"/>
      <c r="D314" s="65"/>
      <c r="E314" s="66"/>
      <c r="F314" s="67"/>
      <c r="G314" s="65"/>
      <c r="H314"/>
      <c r="I314" s="68"/>
    </row>
    <row r="315" spans="1:9" s="1" customFormat="1" ht="12"/>
    <row r="316" spans="1:9" s="1" customFormat="1" ht="12"/>
    <row r="317" spans="1:9" s="1" customFormat="1" ht="20.25">
      <c r="A317" s="42"/>
      <c r="B317" s="41"/>
      <c r="G317" s="43"/>
      <c r="H317" s="43"/>
      <c r="I317" s="43"/>
    </row>
    <row r="318" spans="1:9" s="1" customFormat="1" ht="20.25">
      <c r="A318" s="43"/>
      <c r="B318" s="43"/>
      <c r="C318" s="43"/>
      <c r="D318" s="43"/>
      <c r="E318" s="43"/>
      <c r="F318" s="43"/>
      <c r="G318" s="43"/>
      <c r="H318" s="43"/>
      <c r="I318" s="43"/>
    </row>
    <row r="319" spans="1:9" s="1" customFormat="1" ht="42.75" customHeight="1">
      <c r="A319" s="506"/>
      <c r="B319" s="563"/>
      <c r="C319" s="563"/>
      <c r="D319" s="147"/>
      <c r="E319" s="43"/>
      <c r="F319" s="43"/>
      <c r="G319" s="43"/>
      <c r="H319" s="43"/>
      <c r="I319" s="43"/>
    </row>
    <row r="320" spans="1:9" s="1" customFormat="1">
      <c r="A320" s="55"/>
      <c r="B320" s="55"/>
      <c r="C320" s="55"/>
      <c r="D320" s="55"/>
      <c r="E320" s="55"/>
      <c r="F320" s="55"/>
      <c r="G320" s="56"/>
      <c r="H320" s="56"/>
      <c r="I320" s="510"/>
    </row>
    <row r="321" spans="1:9" s="1" customFormat="1">
      <c r="A321" s="55"/>
      <c r="B321" s="55"/>
      <c r="C321" s="55"/>
      <c r="D321" s="55"/>
      <c r="E321" s="55"/>
      <c r="F321" s="55"/>
      <c r="G321" s="56"/>
      <c r="H321" s="56"/>
      <c r="I321" s="510"/>
    </row>
    <row r="322" spans="1:9" s="1" customFormat="1">
      <c r="A322"/>
      <c r="B322"/>
      <c r="C322"/>
      <c r="D322"/>
      <c r="E322"/>
      <c r="F322"/>
      <c r="G322"/>
      <c r="H322" s="40"/>
      <c r="I322"/>
    </row>
    <row r="323" spans="1:9" s="1" customFormat="1">
      <c r="A323"/>
      <c r="B323"/>
      <c r="C323"/>
      <c r="D323"/>
      <c r="E323"/>
      <c r="F323"/>
      <c r="G323" s="47"/>
      <c r="H323" s="57"/>
      <c r="I323" s="40"/>
    </row>
    <row r="324" spans="1:9" s="1" customFormat="1">
      <c r="A324"/>
      <c r="B324"/>
      <c r="C324"/>
      <c r="D324"/>
      <c r="E324"/>
      <c r="F324"/>
      <c r="G324" s="48"/>
      <c r="H324" s="57"/>
      <c r="I324" s="40"/>
    </row>
    <row r="325" spans="1:9" s="1" customFormat="1">
      <c r="A325"/>
      <c r="B325"/>
      <c r="C325"/>
      <c r="D325"/>
      <c r="E325"/>
      <c r="F325"/>
      <c r="G325" s="49"/>
      <c r="H325" s="57"/>
      <c r="I325" s="40"/>
    </row>
    <row r="326" spans="1:9" s="1" customFormat="1">
      <c r="A326"/>
      <c r="B326"/>
      <c r="C326"/>
      <c r="D326"/>
      <c r="E326"/>
      <c r="F326"/>
      <c r="G326" s="49"/>
      <c r="H326" s="57"/>
      <c r="I326" s="40"/>
    </row>
    <row r="327" spans="1:9" s="1" customFormat="1">
      <c r="A327"/>
      <c r="B327"/>
      <c r="C327"/>
      <c r="D327"/>
      <c r="E327"/>
      <c r="F327"/>
      <c r="G327" s="49"/>
      <c r="H327" s="57"/>
      <c r="I327" s="40"/>
    </row>
    <row r="328" spans="1:9" s="1" customFormat="1">
      <c r="A328"/>
      <c r="B328"/>
      <c r="C328"/>
      <c r="D328"/>
      <c r="E328"/>
      <c r="F328"/>
      <c r="G328" s="49"/>
      <c r="H328" s="57"/>
      <c r="I328" s="40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 s="55"/>
      <c r="B330" s="55"/>
      <c r="C330" s="55"/>
      <c r="D330" s="55"/>
      <c r="E330" s="55"/>
      <c r="F330" s="55"/>
      <c r="G330" s="509"/>
      <c r="H330" s="58"/>
      <c r="I330" s="58"/>
    </row>
    <row r="331" spans="1:9" s="1" customFormat="1">
      <c r="A331" s="55"/>
      <c r="B331" s="55"/>
      <c r="C331" s="55"/>
      <c r="D331" s="55"/>
      <c r="E331" s="55"/>
      <c r="F331" s="55"/>
      <c r="G331" s="509"/>
      <c r="H331" s="58"/>
      <c r="I331" s="58"/>
    </row>
    <row r="332" spans="1:9" s="1" customFormat="1">
      <c r="A332" s="50"/>
      <c r="B332"/>
      <c r="C332" s="51"/>
      <c r="D332" s="51"/>
      <c r="E332" s="51"/>
      <c r="F332"/>
      <c r="G332" s="51"/>
      <c r="H332" s="59"/>
      <c r="I332" s="40"/>
    </row>
    <row r="333" spans="1:9" s="1" customFormat="1">
      <c r="A333"/>
      <c r="B333"/>
      <c r="C333"/>
      <c r="D333"/>
      <c r="E333"/>
      <c r="F333"/>
      <c r="G333" s="40"/>
      <c r="H333" s="40"/>
      <c r="I333" s="57"/>
    </row>
    <row r="334" spans="1:9" s="1" customFormat="1">
      <c r="A334"/>
      <c r="B334"/>
      <c r="C334"/>
      <c r="D334"/>
      <c r="E334"/>
      <c r="F334"/>
      <c r="G334" s="57"/>
      <c r="H334" s="40"/>
      <c r="I334" s="40"/>
    </row>
    <row r="335" spans="1:9" s="1" customFormat="1">
      <c r="A335"/>
      <c r="B335"/>
      <c r="C335"/>
      <c r="D335"/>
      <c r="E335"/>
      <c r="F335"/>
      <c r="G335" s="38"/>
      <c r="H335" s="40"/>
      <c r="I335" s="40"/>
    </row>
    <row r="336" spans="1:9" s="1" customFormat="1">
      <c r="A336"/>
      <c r="B336"/>
      <c r="C336"/>
      <c r="D336"/>
      <c r="E336"/>
      <c r="F336"/>
      <c r="G336" s="60"/>
      <c r="H336" s="40"/>
      <c r="I336" s="40"/>
    </row>
    <row r="337" spans="1:9" s="1" customFormat="1">
      <c r="A337"/>
      <c r="B337"/>
      <c r="C337"/>
      <c r="D337"/>
      <c r="E337"/>
      <c r="F337" s="40"/>
      <c r="G337"/>
      <c r="H337"/>
      <c r="I337"/>
    </row>
    <row r="338" spans="1:9" s="1" customFormat="1">
      <c r="A338" s="52"/>
      <c r="B338"/>
      <c r="C338"/>
      <c r="D338"/>
      <c r="E338"/>
      <c r="F338" s="40"/>
      <c r="G338"/>
      <c r="H338"/>
      <c r="I338"/>
    </row>
    <row r="339" spans="1:9" s="1" customFormat="1">
      <c r="A339"/>
      <c r="B339" s="61"/>
      <c r="C339"/>
      <c r="D339"/>
      <c r="E339"/>
      <c r="F339"/>
      <c r="G339"/>
      <c r="H339"/>
      <c r="I339"/>
    </row>
    <row r="340" spans="1:9" s="1" customFormat="1">
      <c r="A340" s="507"/>
      <c r="B340" s="62"/>
      <c r="C340" s="62"/>
      <c r="D340" s="62"/>
      <c r="E340" s="507"/>
      <c r="F340" s="507"/>
      <c r="G340" s="507"/>
      <c r="H340" s="507"/>
      <c r="I340" s="507"/>
    </row>
    <row r="341" spans="1:9" s="1" customFormat="1">
      <c r="A341" s="507"/>
      <c r="B341" s="62"/>
      <c r="C341" s="62"/>
      <c r="D341" s="62"/>
      <c r="E341" s="62"/>
      <c r="F341" s="62"/>
      <c r="G341" s="508"/>
      <c r="H341" s="508"/>
      <c r="I341" s="508"/>
    </row>
    <row r="342" spans="1:9" s="1" customFormat="1">
      <c r="A342" s="53"/>
      <c r="B342" s="63"/>
      <c r="C342" s="40"/>
      <c r="D342" s="40"/>
      <c r="E342" s="40"/>
      <c r="F342" s="54"/>
      <c r="G342" s="40"/>
      <c r="H342" s="40"/>
      <c r="I342" s="45"/>
    </row>
    <row r="343" spans="1:9" s="1" customFormat="1">
      <c r="A343" s="53"/>
      <c r="B343" s="63"/>
      <c r="C343" s="40"/>
      <c r="D343" s="40"/>
      <c r="E343" s="40"/>
      <c r="F343" s="54"/>
      <c r="G343" s="40"/>
      <c r="H343" s="44"/>
      <c r="I343" s="45"/>
    </row>
    <row r="344" spans="1:9" s="1" customFormat="1">
      <c r="A344" s="53"/>
      <c r="B344" s="63"/>
      <c r="C344" s="40"/>
      <c r="D344" s="40"/>
      <c r="E344" s="40"/>
      <c r="F344" s="54"/>
      <c r="G344" s="40"/>
      <c r="H344" s="44"/>
      <c r="I344"/>
    </row>
    <row r="345" spans="1:9" s="1" customFormat="1">
      <c r="A345" s="53"/>
      <c r="B345" s="63"/>
      <c r="C345" s="40"/>
      <c r="D345" s="40"/>
      <c r="E345" s="40"/>
      <c r="F345" s="54"/>
      <c r="G345" s="40"/>
      <c r="H345" s="44"/>
      <c r="I345" s="45"/>
    </row>
    <row r="346" spans="1:9" s="1" customFormat="1">
      <c r="A346" s="53"/>
      <c r="B346" s="64"/>
      <c r="C346" s="40"/>
      <c r="D346" s="40"/>
      <c r="E346" s="40"/>
      <c r="F346" s="54"/>
      <c r="G346" s="40"/>
      <c r="H346" s="44"/>
      <c r="I346" s="45"/>
    </row>
    <row r="347" spans="1:9" s="1" customFormat="1">
      <c r="A347" s="53"/>
      <c r="B347" s="64"/>
      <c r="C347" s="40"/>
      <c r="D347" s="40"/>
      <c r="E347" s="40"/>
      <c r="F347" s="54"/>
      <c r="G347" s="40"/>
      <c r="H347" s="44"/>
      <c r="I347" s="45"/>
    </row>
    <row r="348" spans="1:9" s="1" customFormat="1">
      <c r="A348" s="53"/>
      <c r="B348" s="64"/>
      <c r="C348" s="40"/>
      <c r="D348" s="40"/>
      <c r="E348" s="40"/>
      <c r="F348" s="54"/>
      <c r="G348" s="40"/>
      <c r="H348" s="44"/>
      <c r="I348" s="45"/>
    </row>
    <row r="349" spans="1:9" s="1" customFormat="1">
      <c r="A349" s="53"/>
      <c r="B349" s="64"/>
      <c r="C349" s="40"/>
      <c r="D349" s="40"/>
      <c r="E349" s="40"/>
      <c r="F349" s="54"/>
      <c r="G349" s="40"/>
      <c r="H349" s="44"/>
      <c r="I349" s="45"/>
    </row>
    <row r="350" spans="1:9" s="1" customFormat="1">
      <c r="A350" s="53"/>
      <c r="B350" s="64"/>
      <c r="C350" s="40"/>
      <c r="D350" s="40"/>
      <c r="E350" s="40"/>
      <c r="F350" s="54"/>
      <c r="G350" s="40"/>
      <c r="H350" s="44"/>
      <c r="I350" s="45"/>
    </row>
    <row r="351" spans="1:9" s="1" customFormat="1">
      <c r="A351" s="53"/>
      <c r="B351" s="64"/>
      <c r="C351" s="40"/>
      <c r="D351" s="40"/>
      <c r="E351" s="40"/>
      <c r="F351" s="54"/>
      <c r="G351" s="40"/>
      <c r="H351" s="44"/>
      <c r="I351" s="45"/>
    </row>
    <row r="352" spans="1:9" s="1" customFormat="1">
      <c r="A352" s="53"/>
      <c r="B352" s="64"/>
      <c r="C352" s="40"/>
      <c r="D352" s="40"/>
      <c r="E352" s="40"/>
      <c r="F352" s="54"/>
      <c r="G352" s="40"/>
      <c r="H352" s="44"/>
      <c r="I352" s="45"/>
    </row>
    <row r="353" spans="1:9" s="1" customFormat="1">
      <c r="A353" s="53"/>
      <c r="B353" s="64"/>
      <c r="C353" s="40"/>
      <c r="D353" s="40"/>
      <c r="E353" s="40"/>
      <c r="F353" s="54"/>
      <c r="G353" s="40"/>
      <c r="H353" s="44"/>
      <c r="I353" s="45"/>
    </row>
    <row r="354" spans="1:9" s="1" customFormat="1">
      <c r="A354" s="53"/>
      <c r="B354" s="64"/>
      <c r="C354" s="40"/>
      <c r="D354" s="40"/>
      <c r="E354" s="40"/>
      <c r="F354" s="54"/>
      <c r="G354" s="40"/>
      <c r="H354" s="44"/>
      <c r="I354" s="45"/>
    </row>
    <row r="355" spans="1:9" s="1" customFormat="1">
      <c r="A355" s="53"/>
      <c r="B355" s="64"/>
      <c r="C355" s="40"/>
      <c r="D355" s="40"/>
      <c r="E355" s="40"/>
      <c r="F355" s="54"/>
      <c r="G355" s="40"/>
      <c r="H355" s="44"/>
      <c r="I355" s="45"/>
    </row>
    <row r="356" spans="1:9" s="1" customFormat="1">
      <c r="A356" s="53"/>
      <c r="B356" s="64"/>
      <c r="C356" s="40"/>
      <c r="D356" s="40"/>
      <c r="E356" s="40"/>
      <c r="F356" s="54"/>
      <c r="G356" s="40"/>
      <c r="H356" s="44"/>
      <c r="I356" s="45"/>
    </row>
    <row r="357" spans="1:9" s="1" customFormat="1">
      <c r="A357" s="53"/>
      <c r="B357" s="64"/>
      <c r="C357" s="40"/>
      <c r="D357" s="40"/>
      <c r="E357" s="40"/>
      <c r="F357" s="54"/>
      <c r="G357" s="40"/>
      <c r="H357" s="44"/>
      <c r="I357" s="45"/>
    </row>
    <row r="358" spans="1:9" s="1" customFormat="1">
      <c r="A358" s="53"/>
      <c r="B358" s="64"/>
      <c r="C358" s="40"/>
      <c r="D358" s="40"/>
      <c r="E358" s="40"/>
      <c r="F358" s="54"/>
      <c r="G358" s="40"/>
      <c r="H358" s="44"/>
      <c r="I358" s="45"/>
    </row>
    <row r="359" spans="1:9" s="1" customFormat="1">
      <c r="A359" s="53"/>
      <c r="B359" s="64"/>
      <c r="C359" s="40"/>
      <c r="D359" s="40"/>
      <c r="E359" s="40"/>
      <c r="F359" s="54"/>
      <c r="G359" s="40"/>
      <c r="H359" s="44"/>
      <c r="I359" s="45"/>
    </row>
    <row r="360" spans="1:9" s="1" customFormat="1">
      <c r="A360" s="53"/>
      <c r="B360" s="64"/>
      <c r="C360" s="40"/>
      <c r="D360" s="40"/>
      <c r="E360" s="40"/>
      <c r="F360" s="54"/>
      <c r="G360" s="40"/>
      <c r="H360" s="44"/>
      <c r="I360" s="45"/>
    </row>
    <row r="361" spans="1:9" s="1" customFormat="1">
      <c r="A361" s="53"/>
      <c r="B361" s="64"/>
      <c r="C361" s="40"/>
      <c r="D361" s="40"/>
      <c r="E361" s="40"/>
      <c r="F361" s="54"/>
      <c r="G361" s="40"/>
      <c r="H361" s="44"/>
      <c r="I361" s="45"/>
    </row>
    <row r="362" spans="1:9" s="1" customFormat="1">
      <c r="A362" s="53"/>
      <c r="B362" s="64"/>
      <c r="C362" s="40"/>
      <c r="D362" s="40"/>
      <c r="E362" s="40"/>
      <c r="F362" s="54"/>
      <c r="G362" s="40"/>
      <c r="H362" s="44"/>
      <c r="I362" s="45"/>
    </row>
    <row r="363" spans="1:9" s="1" customFormat="1">
      <c r="A363" s="53"/>
      <c r="B363" s="64"/>
      <c r="C363" s="40"/>
      <c r="D363" s="40"/>
      <c r="E363" s="40"/>
      <c r="F363" s="54"/>
      <c r="G363" s="40"/>
      <c r="H363" s="44"/>
      <c r="I363" s="45"/>
    </row>
    <row r="364" spans="1:9" s="1" customFormat="1">
      <c r="A364" s="53"/>
      <c r="B364" s="64"/>
      <c r="C364" s="40"/>
      <c r="D364" s="40"/>
      <c r="E364" s="40"/>
      <c r="F364" s="54"/>
      <c r="G364" s="40"/>
      <c r="H364" s="44"/>
      <c r="I364" s="45"/>
    </row>
    <row r="365" spans="1:9" s="1" customFormat="1">
      <c r="A365" s="53"/>
      <c r="B365" s="64"/>
      <c r="C365" s="40"/>
      <c r="D365" s="40"/>
      <c r="E365" s="40"/>
      <c r="F365" s="54"/>
      <c r="G365" s="40"/>
      <c r="H365" s="44"/>
      <c r="I365" s="45"/>
    </row>
    <row r="366" spans="1:9" s="1" customFormat="1">
      <c r="A366" s="53"/>
      <c r="B366" s="64"/>
      <c r="C366" s="40"/>
      <c r="D366" s="40"/>
      <c r="E366" s="40"/>
      <c r="F366" s="54"/>
      <c r="G366" s="40"/>
      <c r="H366" s="44"/>
      <c r="I366" s="45"/>
    </row>
    <row r="367" spans="1:9" s="1" customFormat="1">
      <c r="A367" s="69"/>
      <c r="B367" s="46"/>
      <c r="C367" s="46"/>
      <c r="D367" s="46"/>
      <c r="E367" s="46"/>
      <c r="F367" s="46"/>
      <c r="G367" s="46"/>
      <c r="H367" s="46"/>
      <c r="I367" s="46"/>
    </row>
    <row r="368" spans="1:9" s="1" customFormat="1">
      <c r="A368"/>
      <c r="B368" s="40"/>
      <c r="C368" s="40"/>
      <c r="D368" s="40"/>
      <c r="E368" s="40"/>
      <c r="F368"/>
      <c r="G368"/>
      <c r="H368"/>
      <c r="I368"/>
    </row>
    <row r="369" spans="1:9" s="1" customFormat="1">
      <c r="A369"/>
      <c r="B369"/>
      <c r="C369" s="65"/>
      <c r="D369" s="65"/>
      <c r="E369" s="66"/>
      <c r="F369" s="67"/>
      <c r="G369" s="65"/>
      <c r="H369"/>
      <c r="I369" s="68"/>
    </row>
    <row r="370" spans="1:9" s="1" customFormat="1" ht="12"/>
    <row r="371" spans="1:9" s="1" customFormat="1" ht="20.25">
      <c r="A371" s="42"/>
      <c r="B371" s="41"/>
      <c r="G371" s="43"/>
      <c r="H371" s="43"/>
      <c r="I371" s="43"/>
    </row>
    <row r="372" spans="1:9" s="1" customFormat="1" ht="41.25" customHeight="1">
      <c r="A372" s="506"/>
      <c r="B372" s="563"/>
      <c r="C372" s="563"/>
      <c r="D372" s="147"/>
      <c r="E372" s="43"/>
      <c r="F372" s="43"/>
      <c r="G372" s="43"/>
      <c r="H372" s="43"/>
      <c r="I372" s="43"/>
    </row>
    <row r="373" spans="1:9" s="1" customFormat="1">
      <c r="A373" s="55"/>
      <c r="B373" s="55"/>
      <c r="C373" s="55"/>
      <c r="D373" s="55"/>
      <c r="E373" s="55"/>
      <c r="F373" s="55"/>
      <c r="G373" s="56"/>
      <c r="H373" s="56"/>
      <c r="I373" s="510"/>
    </row>
    <row r="374" spans="1:9" s="1" customFormat="1">
      <c r="A374" s="55"/>
      <c r="B374" s="55"/>
      <c r="C374" s="55"/>
      <c r="D374" s="55"/>
      <c r="E374" s="55"/>
      <c r="F374" s="55"/>
      <c r="G374" s="56"/>
      <c r="H374" s="56"/>
      <c r="I374" s="510"/>
    </row>
    <row r="375" spans="1:9" s="1" customFormat="1">
      <c r="A375"/>
      <c r="B375"/>
      <c r="C375"/>
      <c r="D375"/>
      <c r="E375"/>
      <c r="F375"/>
      <c r="G375"/>
      <c r="H375" s="40"/>
      <c r="I375"/>
    </row>
    <row r="376" spans="1:9" s="1" customFormat="1">
      <c r="A376"/>
      <c r="B376"/>
      <c r="C376"/>
      <c r="D376"/>
      <c r="E376"/>
      <c r="F376"/>
      <c r="G376" s="48"/>
      <c r="H376" s="57"/>
      <c r="I376" s="40"/>
    </row>
    <row r="377" spans="1:9" s="1" customFormat="1">
      <c r="A377"/>
      <c r="B377"/>
      <c r="C377"/>
      <c r="D377"/>
      <c r="E377"/>
      <c r="F377"/>
      <c r="G377" s="48"/>
      <c r="H377" s="57"/>
      <c r="I377" s="40"/>
    </row>
    <row r="378" spans="1:9" s="1" customFormat="1">
      <c r="A378"/>
      <c r="B378"/>
      <c r="C378"/>
      <c r="D378"/>
      <c r="E378"/>
      <c r="F378"/>
      <c r="G378" s="49"/>
      <c r="H378" s="57"/>
      <c r="I378" s="40"/>
    </row>
    <row r="379" spans="1:9" s="1" customFormat="1">
      <c r="A379"/>
      <c r="B379"/>
      <c r="C379"/>
      <c r="D379"/>
      <c r="E379"/>
      <c r="F379"/>
      <c r="G379" s="49"/>
      <c r="H379" s="57"/>
      <c r="I379" s="40"/>
    </row>
    <row r="380" spans="1:9" s="1" customFormat="1">
      <c r="A380"/>
      <c r="B380"/>
      <c r="C380"/>
      <c r="D380"/>
      <c r="E380"/>
      <c r="F380"/>
      <c r="G380" s="49"/>
      <c r="H380" s="57"/>
      <c r="I380" s="40"/>
    </row>
    <row r="381" spans="1:9" s="1" customFormat="1">
      <c r="A381"/>
      <c r="B381"/>
      <c r="C381"/>
      <c r="D381"/>
      <c r="E381"/>
      <c r="F381"/>
      <c r="G381" s="49"/>
      <c r="H381" s="57"/>
      <c r="I381" s="40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 s="55"/>
      <c r="B383" s="55"/>
      <c r="C383" s="55"/>
      <c r="D383" s="55"/>
      <c r="E383" s="55"/>
      <c r="F383" s="55"/>
      <c r="G383" s="509"/>
      <c r="H383" s="58"/>
      <c r="I383" s="58"/>
    </row>
    <row r="384" spans="1:9" s="1" customFormat="1">
      <c r="A384" s="55"/>
      <c r="B384" s="55"/>
      <c r="C384" s="55"/>
      <c r="D384" s="55"/>
      <c r="E384" s="55"/>
      <c r="F384" s="55"/>
      <c r="G384" s="509"/>
      <c r="H384" s="58"/>
      <c r="I384" s="58"/>
    </row>
    <row r="385" spans="1:9" s="1" customFormat="1">
      <c r="A385" s="50"/>
      <c r="B385"/>
      <c r="C385" s="51"/>
      <c r="D385" s="51"/>
      <c r="E385" s="51"/>
      <c r="F385"/>
      <c r="G385" s="51"/>
      <c r="H385" s="59"/>
      <c r="I385" s="40"/>
    </row>
    <row r="386" spans="1:9" s="1" customFormat="1">
      <c r="A386"/>
      <c r="B386"/>
      <c r="C386"/>
      <c r="D386"/>
      <c r="E386"/>
      <c r="F386"/>
      <c r="G386" s="40"/>
      <c r="H386" s="40"/>
      <c r="I386" s="57"/>
    </row>
    <row r="387" spans="1:9" s="1" customFormat="1">
      <c r="A387"/>
      <c r="B387"/>
      <c r="C387"/>
      <c r="D387"/>
      <c r="E387"/>
      <c r="F387"/>
      <c r="G387" s="57"/>
      <c r="H387" s="40"/>
      <c r="I387" s="40"/>
    </row>
    <row r="388" spans="1:9" s="1" customFormat="1">
      <c r="A388"/>
      <c r="B388"/>
      <c r="C388"/>
      <c r="D388"/>
      <c r="E388"/>
      <c r="F388"/>
      <c r="G388" s="38"/>
      <c r="H388" s="40"/>
      <c r="I388" s="40"/>
    </row>
    <row r="389" spans="1:9" s="1" customFormat="1">
      <c r="A389"/>
      <c r="B389"/>
      <c r="C389"/>
      <c r="D389"/>
      <c r="E389"/>
      <c r="F389"/>
      <c r="G389" s="60"/>
      <c r="H389" s="40"/>
      <c r="I389" s="40"/>
    </row>
    <row r="390" spans="1:9" s="1" customFormat="1">
      <c r="A390"/>
      <c r="B390"/>
      <c r="C390"/>
      <c r="D390"/>
      <c r="E390"/>
      <c r="F390" s="40"/>
      <c r="G390"/>
      <c r="H390"/>
      <c r="I390"/>
    </row>
    <row r="391" spans="1:9" s="1" customFormat="1">
      <c r="A391" s="52"/>
      <c r="B391"/>
      <c r="C391"/>
      <c r="D391"/>
      <c r="E391"/>
      <c r="F391" s="40"/>
      <c r="G391"/>
      <c r="H391"/>
      <c r="I391"/>
    </row>
    <row r="392" spans="1:9" s="1" customFormat="1">
      <c r="A392"/>
      <c r="B392" s="61"/>
      <c r="C392"/>
      <c r="D392"/>
      <c r="E392"/>
      <c r="F392"/>
      <c r="G392"/>
      <c r="H392"/>
      <c r="I392"/>
    </row>
    <row r="393" spans="1:9" s="1" customFormat="1">
      <c r="A393" s="507"/>
      <c r="B393" s="62"/>
      <c r="C393" s="62"/>
      <c r="D393" s="62"/>
      <c r="E393" s="507"/>
      <c r="F393" s="507"/>
      <c r="G393" s="507"/>
      <c r="H393" s="507"/>
      <c r="I393" s="507"/>
    </row>
    <row r="394" spans="1:9" s="1" customFormat="1">
      <c r="A394" s="507"/>
      <c r="B394" s="62"/>
      <c r="C394" s="62"/>
      <c r="D394" s="62"/>
      <c r="E394" s="62"/>
      <c r="F394" s="62"/>
      <c r="G394" s="508"/>
      <c r="H394" s="508"/>
      <c r="I394" s="508"/>
    </row>
    <row r="395" spans="1:9" s="1" customFormat="1">
      <c r="A395" s="53"/>
      <c r="B395" s="63"/>
      <c r="C395" s="40"/>
      <c r="D395" s="40"/>
      <c r="E395" s="40"/>
      <c r="F395" s="54"/>
      <c r="G395" s="40"/>
      <c r="H395" s="40"/>
      <c r="I395" s="45"/>
    </row>
    <row r="396" spans="1:9" s="1" customFormat="1">
      <c r="A396" s="53"/>
      <c r="B396" s="63"/>
      <c r="C396" s="40"/>
      <c r="D396" s="40"/>
      <c r="E396" s="40"/>
      <c r="F396" s="54"/>
      <c r="G396" s="40"/>
      <c r="H396" s="44"/>
      <c r="I396" s="45"/>
    </row>
    <row r="397" spans="1:9" s="1" customFormat="1">
      <c r="A397" s="53"/>
      <c r="B397" s="63"/>
      <c r="C397" s="40"/>
      <c r="D397" s="40"/>
      <c r="E397" s="40"/>
      <c r="F397" s="54"/>
      <c r="G397" s="40"/>
      <c r="H397" s="44"/>
      <c r="I397"/>
    </row>
    <row r="398" spans="1:9" s="1" customFormat="1">
      <c r="A398" s="53"/>
      <c r="B398" s="63"/>
      <c r="C398" s="40"/>
      <c r="D398" s="40"/>
      <c r="E398" s="40"/>
      <c r="F398" s="54"/>
      <c r="G398" s="40"/>
      <c r="H398" s="44"/>
      <c r="I398" s="45"/>
    </row>
    <row r="399" spans="1:9" s="1" customFormat="1">
      <c r="A399" s="53"/>
      <c r="B399" s="64"/>
      <c r="C399" s="40"/>
      <c r="D399" s="40"/>
      <c r="E399" s="40"/>
      <c r="F399" s="54"/>
      <c r="G399" s="40"/>
      <c r="H399" s="44"/>
      <c r="I399" s="45"/>
    </row>
    <row r="400" spans="1:9" s="1" customFormat="1">
      <c r="A400" s="53"/>
      <c r="B400" s="64"/>
      <c r="C400" s="40"/>
      <c r="D400" s="40"/>
      <c r="E400" s="40"/>
      <c r="F400" s="54"/>
      <c r="G400" s="40"/>
      <c r="H400" s="44"/>
      <c r="I400" s="45"/>
    </row>
    <row r="401" spans="1:9" s="1" customFormat="1">
      <c r="A401" s="53"/>
      <c r="B401" s="64"/>
      <c r="C401" s="40"/>
      <c r="D401" s="40"/>
      <c r="E401" s="40"/>
      <c r="F401" s="54"/>
      <c r="G401" s="40"/>
      <c r="H401" s="44"/>
      <c r="I401" s="45"/>
    </row>
    <row r="402" spans="1:9" s="1" customFormat="1">
      <c r="A402" s="53"/>
      <c r="B402" s="64"/>
      <c r="C402" s="40"/>
      <c r="D402" s="40"/>
      <c r="E402" s="40"/>
      <c r="F402" s="54"/>
      <c r="G402" s="40"/>
      <c r="H402" s="44"/>
      <c r="I402" s="45"/>
    </row>
    <row r="403" spans="1:9" s="1" customFormat="1">
      <c r="A403" s="53"/>
      <c r="B403" s="64"/>
      <c r="C403" s="40"/>
      <c r="D403" s="40"/>
      <c r="E403" s="40"/>
      <c r="F403" s="54"/>
      <c r="G403" s="40"/>
      <c r="H403" s="44"/>
      <c r="I403" s="45"/>
    </row>
    <row r="404" spans="1:9" s="1" customFormat="1">
      <c r="A404" s="53"/>
      <c r="B404" s="64"/>
      <c r="C404" s="40"/>
      <c r="D404" s="40"/>
      <c r="E404" s="40"/>
      <c r="F404" s="54"/>
      <c r="G404" s="40"/>
      <c r="H404" s="44"/>
      <c r="I404" s="45"/>
    </row>
    <row r="405" spans="1:9" s="1" customFormat="1">
      <c r="A405" s="53"/>
      <c r="B405" s="64"/>
      <c r="C405" s="40"/>
      <c r="D405" s="40"/>
      <c r="E405" s="40"/>
      <c r="F405" s="54"/>
      <c r="G405" s="40"/>
      <c r="H405" s="44"/>
      <c r="I405" s="45"/>
    </row>
    <row r="406" spans="1:9" s="1" customFormat="1">
      <c r="A406" s="53"/>
      <c r="B406" s="64"/>
      <c r="C406" s="40"/>
      <c r="D406" s="40"/>
      <c r="E406" s="40"/>
      <c r="F406" s="54"/>
      <c r="G406" s="40"/>
      <c r="H406" s="44"/>
      <c r="I406" s="45"/>
    </row>
    <row r="407" spans="1:9" s="1" customFormat="1">
      <c r="A407" s="53"/>
      <c r="B407" s="64"/>
      <c r="C407" s="40"/>
      <c r="D407" s="40"/>
      <c r="E407" s="40"/>
      <c r="F407" s="54"/>
      <c r="G407" s="40"/>
      <c r="H407" s="44"/>
      <c r="I407" s="45"/>
    </row>
    <row r="408" spans="1:9" s="1" customFormat="1">
      <c r="A408" s="53"/>
      <c r="B408" s="64"/>
      <c r="C408" s="40"/>
      <c r="D408" s="40"/>
      <c r="E408" s="40"/>
      <c r="F408" s="54"/>
      <c r="G408" s="40"/>
      <c r="H408" s="44"/>
      <c r="I408" s="45"/>
    </row>
    <row r="409" spans="1:9" s="1" customFormat="1">
      <c r="A409" s="53"/>
      <c r="B409" s="64"/>
      <c r="C409" s="40"/>
      <c r="D409" s="40"/>
      <c r="E409" s="40"/>
      <c r="F409" s="54"/>
      <c r="G409" s="40"/>
      <c r="H409" s="44"/>
      <c r="I409" s="45"/>
    </row>
    <row r="410" spans="1:9" s="1" customFormat="1">
      <c r="A410" s="53"/>
      <c r="B410" s="64"/>
      <c r="C410" s="40"/>
      <c r="D410" s="40"/>
      <c r="E410" s="40"/>
      <c r="F410" s="54"/>
      <c r="G410" s="40"/>
      <c r="H410" s="44"/>
      <c r="I410" s="45"/>
    </row>
    <row r="411" spans="1:9" s="1" customFormat="1">
      <c r="A411" s="53"/>
      <c r="B411" s="64"/>
      <c r="C411" s="40"/>
      <c r="D411" s="40"/>
      <c r="E411" s="40"/>
      <c r="F411" s="54"/>
      <c r="G411" s="40"/>
      <c r="H411" s="44"/>
      <c r="I411" s="45"/>
    </row>
    <row r="412" spans="1:9" s="1" customFormat="1">
      <c r="A412" s="53"/>
      <c r="B412" s="64"/>
      <c r="C412" s="40"/>
      <c r="D412" s="40"/>
      <c r="E412" s="40"/>
      <c r="F412" s="54"/>
      <c r="G412" s="40"/>
      <c r="H412" s="44"/>
      <c r="I412" s="45"/>
    </row>
    <row r="413" spans="1:9" s="1" customFormat="1">
      <c r="A413" s="53"/>
      <c r="B413" s="64"/>
      <c r="C413" s="40"/>
      <c r="D413" s="40"/>
      <c r="E413" s="40"/>
      <c r="F413" s="54"/>
      <c r="G413" s="40"/>
      <c r="H413" s="44"/>
      <c r="I413" s="45"/>
    </row>
    <row r="414" spans="1:9" s="1" customFormat="1">
      <c r="A414" s="53"/>
      <c r="B414" s="64"/>
      <c r="C414" s="40"/>
      <c r="D414" s="40"/>
      <c r="E414" s="40"/>
      <c r="F414" s="54"/>
      <c r="G414" s="40"/>
      <c r="H414" s="44"/>
      <c r="I414" s="45"/>
    </row>
    <row r="415" spans="1:9" s="1" customFormat="1">
      <c r="A415" s="53"/>
      <c r="B415" s="64"/>
      <c r="C415" s="40"/>
      <c r="D415" s="40"/>
      <c r="E415" s="40"/>
      <c r="F415" s="54"/>
      <c r="G415" s="40"/>
      <c r="H415" s="44"/>
      <c r="I415" s="45"/>
    </row>
    <row r="416" spans="1:9" s="1" customFormat="1">
      <c r="A416" s="53"/>
      <c r="B416" s="64"/>
      <c r="C416" s="40"/>
      <c r="D416" s="40"/>
      <c r="E416" s="40"/>
      <c r="F416" s="54"/>
      <c r="G416" s="40"/>
      <c r="H416" s="44"/>
      <c r="I416" s="45"/>
    </row>
    <row r="417" spans="1:9" s="1" customFormat="1">
      <c r="A417" s="53"/>
      <c r="B417" s="64"/>
      <c r="C417" s="40"/>
      <c r="D417" s="40"/>
      <c r="E417" s="40"/>
      <c r="F417" s="54"/>
      <c r="G417" s="40"/>
      <c r="H417" s="44"/>
      <c r="I417" s="45"/>
    </row>
    <row r="418" spans="1:9" s="1" customFormat="1">
      <c r="A418" s="53"/>
      <c r="B418" s="64"/>
      <c r="C418" s="40"/>
      <c r="D418" s="40"/>
      <c r="E418" s="40"/>
      <c r="F418" s="54"/>
      <c r="G418" s="40"/>
      <c r="H418" s="44"/>
      <c r="I418" s="45"/>
    </row>
    <row r="419" spans="1:9" s="1" customFormat="1">
      <c r="A419" s="53"/>
      <c r="B419" s="64"/>
      <c r="C419" s="40"/>
      <c r="D419" s="40"/>
      <c r="E419" s="40"/>
      <c r="F419" s="54"/>
      <c r="G419" s="40"/>
      <c r="H419" s="44"/>
      <c r="I419" s="45"/>
    </row>
    <row r="420" spans="1:9" s="1" customFormat="1">
      <c r="A420" s="69"/>
      <c r="B420" s="46"/>
      <c r="C420" s="46"/>
      <c r="D420" s="46"/>
      <c r="E420" s="46"/>
      <c r="F420" s="46"/>
      <c r="G420" s="46"/>
      <c r="H420" s="46"/>
      <c r="I420" s="46"/>
    </row>
    <row r="421" spans="1:9" s="1" customFormat="1">
      <c r="A421"/>
      <c r="B421" s="40"/>
      <c r="C421" s="40"/>
      <c r="D421" s="40"/>
      <c r="E421" s="40"/>
      <c r="F421"/>
      <c r="G421"/>
      <c r="H421"/>
      <c r="I421"/>
    </row>
    <row r="422" spans="1:9" s="1" customFormat="1">
      <c r="A422"/>
      <c r="B422"/>
      <c r="C422" s="65"/>
      <c r="D422" s="65"/>
      <c r="E422" s="66"/>
      <c r="F422" s="67"/>
      <c r="G422" s="65"/>
      <c r="H422"/>
      <c r="I422" s="68"/>
    </row>
    <row r="423" spans="1:9" s="1" customFormat="1" ht="12"/>
    <row r="424" spans="1:9" s="1" customFormat="1" ht="20.25">
      <c r="A424" s="42"/>
      <c r="B424" s="41"/>
      <c r="G424" s="43"/>
      <c r="H424" s="43"/>
      <c r="I424" s="43"/>
    </row>
    <row r="425" spans="1:9" s="1" customFormat="1" ht="20.25">
      <c r="A425" s="43"/>
      <c r="B425" s="43"/>
      <c r="C425" s="43"/>
      <c r="D425" s="43"/>
      <c r="E425" s="43"/>
      <c r="F425" s="43"/>
      <c r="G425" s="43"/>
      <c r="H425" s="43"/>
      <c r="I425" s="43"/>
    </row>
    <row r="426" spans="1:9" s="1" customFormat="1" ht="20.25">
      <c r="A426" s="506"/>
      <c r="B426" s="563"/>
      <c r="C426" s="563"/>
      <c r="D426" s="147"/>
      <c r="E426" s="43"/>
      <c r="F426" s="43"/>
      <c r="G426" s="43"/>
      <c r="H426" s="43"/>
      <c r="I426" s="43"/>
    </row>
    <row r="427" spans="1:9" s="1" customFormat="1">
      <c r="A427" s="55"/>
      <c r="B427" s="55"/>
      <c r="C427" s="55"/>
      <c r="D427" s="55"/>
      <c r="E427" s="55"/>
      <c r="F427" s="55"/>
      <c r="G427" s="56"/>
      <c r="H427" s="56"/>
      <c r="I427" s="510"/>
    </row>
    <row r="428" spans="1:9" s="1" customFormat="1">
      <c r="A428" s="55"/>
      <c r="B428" s="55"/>
      <c r="C428" s="55"/>
      <c r="D428" s="55"/>
      <c r="E428" s="55"/>
      <c r="F428" s="55"/>
      <c r="G428" s="56"/>
      <c r="H428" s="56"/>
      <c r="I428" s="510"/>
    </row>
    <row r="429" spans="1:9" s="1" customFormat="1">
      <c r="A429"/>
      <c r="B429"/>
      <c r="C429"/>
      <c r="D429"/>
      <c r="E429"/>
      <c r="F429"/>
      <c r="G429"/>
      <c r="H429" s="40"/>
      <c r="I429"/>
    </row>
    <row r="430" spans="1:9" s="1" customFormat="1">
      <c r="A430"/>
      <c r="B430"/>
      <c r="C430"/>
      <c r="D430"/>
      <c r="E430"/>
      <c r="F430"/>
      <c r="G430" s="47"/>
      <c r="H430" s="57"/>
      <c r="I430" s="40"/>
    </row>
    <row r="431" spans="1:9" s="1" customFormat="1">
      <c r="A431"/>
      <c r="B431"/>
      <c r="C431"/>
      <c r="D431"/>
      <c r="E431"/>
      <c r="F431"/>
      <c r="G431" s="48"/>
      <c r="H431" s="57"/>
      <c r="I431" s="40"/>
    </row>
    <row r="432" spans="1:9" s="1" customFormat="1">
      <c r="A432"/>
      <c r="B432"/>
      <c r="C432"/>
      <c r="D432"/>
      <c r="E432"/>
      <c r="F432"/>
      <c r="G432" s="49"/>
      <c r="H432" s="57"/>
      <c r="I432" s="40"/>
    </row>
    <row r="433" spans="1:9" s="1" customFormat="1">
      <c r="A433"/>
      <c r="B433"/>
      <c r="C433"/>
      <c r="D433"/>
      <c r="E433"/>
      <c r="F433"/>
      <c r="G433" s="49"/>
      <c r="H433" s="57"/>
      <c r="I433" s="40"/>
    </row>
    <row r="434" spans="1:9" s="1" customFormat="1">
      <c r="A434"/>
      <c r="B434"/>
      <c r="C434"/>
      <c r="D434"/>
      <c r="E434"/>
      <c r="F434"/>
      <c r="G434" s="49"/>
      <c r="H434" s="57"/>
      <c r="I434" s="40"/>
    </row>
    <row r="435" spans="1:9" s="1" customFormat="1">
      <c r="A435"/>
      <c r="B435"/>
      <c r="C435"/>
      <c r="D435"/>
      <c r="E435"/>
      <c r="F435"/>
      <c r="G435" s="49"/>
      <c r="H435" s="57"/>
      <c r="I435" s="40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 s="55"/>
      <c r="B437" s="55"/>
      <c r="C437" s="55"/>
      <c r="D437" s="55"/>
      <c r="E437" s="55"/>
      <c r="F437" s="55"/>
      <c r="G437" s="509"/>
      <c r="H437" s="58"/>
      <c r="I437" s="58"/>
    </row>
    <row r="438" spans="1:9" s="1" customFormat="1">
      <c r="A438" s="55"/>
      <c r="B438" s="55"/>
      <c r="C438" s="55"/>
      <c r="D438" s="55"/>
      <c r="E438" s="55"/>
      <c r="F438" s="55"/>
      <c r="G438" s="509"/>
      <c r="H438" s="58"/>
      <c r="I438" s="58"/>
    </row>
    <row r="439" spans="1:9" s="1" customFormat="1">
      <c r="A439" s="50"/>
      <c r="B439"/>
      <c r="C439" s="51"/>
      <c r="D439" s="51"/>
      <c r="E439" s="51"/>
      <c r="F439"/>
      <c r="G439" s="51"/>
      <c r="H439" s="59"/>
      <c r="I439" s="40"/>
    </row>
    <row r="440" spans="1:9" s="1" customFormat="1">
      <c r="A440"/>
      <c r="B440"/>
      <c r="C440"/>
      <c r="D440"/>
      <c r="E440"/>
      <c r="F440"/>
      <c r="G440" s="40"/>
      <c r="H440" s="40"/>
      <c r="I440" s="57"/>
    </row>
    <row r="441" spans="1:9" s="1" customFormat="1">
      <c r="A441"/>
      <c r="B441"/>
      <c r="C441"/>
      <c r="D441"/>
      <c r="E441"/>
      <c r="F441"/>
      <c r="G441" s="57"/>
      <c r="H441" s="40"/>
      <c r="I441" s="40"/>
    </row>
    <row r="442" spans="1:9" s="1" customFormat="1">
      <c r="A442"/>
      <c r="B442"/>
      <c r="C442"/>
      <c r="D442"/>
      <c r="E442"/>
      <c r="F442"/>
      <c r="G442" s="38"/>
      <c r="H442" s="40"/>
      <c r="I442" s="40"/>
    </row>
    <row r="443" spans="1:9" s="1" customFormat="1">
      <c r="A443"/>
      <c r="B443"/>
      <c r="C443"/>
      <c r="D443"/>
      <c r="E443"/>
      <c r="F443"/>
      <c r="G443" s="60"/>
      <c r="H443" s="40"/>
      <c r="I443" s="40"/>
    </row>
    <row r="444" spans="1:9" s="1" customFormat="1">
      <c r="A444"/>
      <c r="B444"/>
      <c r="C444"/>
      <c r="D444"/>
      <c r="E444"/>
      <c r="F444" s="40"/>
      <c r="G444"/>
      <c r="H444"/>
      <c r="I444"/>
    </row>
    <row r="445" spans="1:9" s="1" customFormat="1">
      <c r="A445" s="52"/>
      <c r="B445"/>
      <c r="C445"/>
      <c r="D445"/>
      <c r="E445"/>
      <c r="F445" s="40"/>
      <c r="G445"/>
      <c r="H445"/>
      <c r="I445"/>
    </row>
    <row r="446" spans="1:9" s="1" customFormat="1">
      <c r="A446"/>
      <c r="B446" s="61"/>
      <c r="C446"/>
      <c r="D446"/>
      <c r="E446"/>
      <c r="F446"/>
      <c r="G446"/>
      <c r="H446"/>
      <c r="I446"/>
    </row>
    <row r="447" spans="1:9" s="1" customFormat="1">
      <c r="A447" s="507"/>
      <c r="B447" s="62"/>
      <c r="C447" s="62"/>
      <c r="D447" s="62"/>
      <c r="E447" s="507"/>
      <c r="F447" s="507"/>
      <c r="G447" s="507"/>
      <c r="H447" s="507"/>
      <c r="I447" s="507"/>
    </row>
    <row r="448" spans="1:9" s="1" customFormat="1">
      <c r="A448" s="507"/>
      <c r="B448" s="62"/>
      <c r="C448" s="62"/>
      <c r="D448" s="62"/>
      <c r="E448" s="62"/>
      <c r="F448" s="62"/>
      <c r="G448" s="508"/>
      <c r="H448" s="508"/>
      <c r="I448" s="508"/>
    </row>
    <row r="449" spans="1:9" s="1" customFormat="1">
      <c r="A449" s="53"/>
      <c r="B449" s="63"/>
      <c r="C449" s="40"/>
      <c r="D449" s="40"/>
      <c r="E449" s="40"/>
      <c r="F449" s="54"/>
      <c r="G449" s="40"/>
      <c r="H449" s="40"/>
      <c r="I449" s="45"/>
    </row>
    <row r="450" spans="1:9" s="1" customFormat="1">
      <c r="A450" s="53"/>
      <c r="B450" s="63"/>
      <c r="C450" s="40"/>
      <c r="D450" s="40"/>
      <c r="E450" s="40"/>
      <c r="F450" s="54"/>
      <c r="G450" s="40"/>
      <c r="H450" s="44"/>
      <c r="I450" s="45"/>
    </row>
    <row r="451" spans="1:9" s="1" customFormat="1">
      <c r="A451" s="53"/>
      <c r="B451" s="63"/>
      <c r="C451" s="40"/>
      <c r="D451" s="40"/>
      <c r="E451" s="40"/>
      <c r="F451" s="54"/>
      <c r="G451" s="40"/>
      <c r="H451" s="44"/>
      <c r="I451"/>
    </row>
    <row r="452" spans="1:9" s="1" customFormat="1">
      <c r="A452" s="53"/>
      <c r="B452" s="63"/>
      <c r="C452" s="40"/>
      <c r="D452" s="40"/>
      <c r="E452" s="40"/>
      <c r="F452" s="54"/>
      <c r="G452" s="40"/>
      <c r="H452" s="44"/>
      <c r="I452" s="45"/>
    </row>
    <row r="453" spans="1:9" s="1" customFormat="1">
      <c r="A453" s="53"/>
      <c r="B453" s="64"/>
      <c r="C453" s="40"/>
      <c r="D453" s="40"/>
      <c r="E453" s="40"/>
      <c r="F453" s="54"/>
      <c r="G453" s="40"/>
      <c r="H453" s="44"/>
      <c r="I453" s="45"/>
    </row>
    <row r="454" spans="1:9" s="1" customFormat="1">
      <c r="A454" s="53"/>
      <c r="B454" s="64"/>
      <c r="C454" s="40"/>
      <c r="D454" s="40"/>
      <c r="E454" s="40"/>
      <c r="F454" s="54"/>
      <c r="G454" s="40"/>
      <c r="H454" s="44"/>
      <c r="I454" s="45"/>
    </row>
    <row r="455" spans="1:9" s="1" customFormat="1">
      <c r="A455" s="53"/>
      <c r="B455" s="64"/>
      <c r="C455" s="40"/>
      <c r="D455" s="40"/>
      <c r="E455" s="40"/>
      <c r="F455" s="54"/>
      <c r="G455" s="40"/>
      <c r="H455" s="44"/>
      <c r="I455" s="45"/>
    </row>
    <row r="456" spans="1:9" s="1" customFormat="1">
      <c r="A456" s="53"/>
      <c r="B456" s="64"/>
      <c r="C456" s="40"/>
      <c r="D456" s="40"/>
      <c r="E456" s="40"/>
      <c r="F456" s="54"/>
      <c r="G456" s="40"/>
      <c r="H456" s="44"/>
      <c r="I456" s="45"/>
    </row>
    <row r="457" spans="1:9" s="1" customFormat="1">
      <c r="A457" s="53"/>
      <c r="B457" s="64"/>
      <c r="C457" s="40"/>
      <c r="D457" s="40"/>
      <c r="E457" s="40"/>
      <c r="F457" s="54"/>
      <c r="G457" s="40"/>
      <c r="H457" s="44"/>
      <c r="I457" s="45"/>
    </row>
    <row r="458" spans="1:9" s="1" customFormat="1">
      <c r="A458" s="53"/>
      <c r="B458" s="64"/>
      <c r="C458" s="40"/>
      <c r="D458" s="40"/>
      <c r="E458" s="40"/>
      <c r="F458" s="54"/>
      <c r="G458" s="40"/>
      <c r="H458" s="44"/>
      <c r="I458" s="45"/>
    </row>
    <row r="459" spans="1:9" s="1" customFormat="1">
      <c r="A459" s="53"/>
      <c r="B459" s="64"/>
      <c r="C459" s="40"/>
      <c r="D459" s="40"/>
      <c r="E459" s="40"/>
      <c r="F459" s="54"/>
      <c r="G459" s="40"/>
      <c r="H459" s="44"/>
      <c r="I459" s="45"/>
    </row>
    <row r="460" spans="1:9" s="1" customFormat="1">
      <c r="A460" s="53"/>
      <c r="B460" s="64"/>
      <c r="C460" s="40"/>
      <c r="D460" s="40"/>
      <c r="E460" s="40"/>
      <c r="F460" s="54"/>
      <c r="G460" s="40"/>
      <c r="H460" s="44"/>
      <c r="I460" s="45"/>
    </row>
    <row r="461" spans="1:9" s="1" customFormat="1">
      <c r="A461" s="53"/>
      <c r="B461" s="64"/>
      <c r="C461" s="40"/>
      <c r="D461" s="40"/>
      <c r="E461" s="40"/>
      <c r="F461" s="54"/>
      <c r="G461" s="40"/>
      <c r="H461" s="44"/>
      <c r="I461" s="45"/>
    </row>
    <row r="462" spans="1:9" s="1" customFormat="1">
      <c r="A462" s="53"/>
      <c r="B462" s="64"/>
      <c r="C462" s="40"/>
      <c r="D462" s="40"/>
      <c r="E462" s="40"/>
      <c r="F462" s="54"/>
      <c r="G462" s="40"/>
      <c r="H462" s="44"/>
      <c r="I462" s="45"/>
    </row>
    <row r="463" spans="1:9" s="1" customFormat="1">
      <c r="A463" s="53"/>
      <c r="B463" s="64"/>
      <c r="C463" s="40"/>
      <c r="D463" s="40"/>
      <c r="E463" s="40"/>
      <c r="F463" s="54"/>
      <c r="G463" s="40"/>
      <c r="H463" s="44"/>
      <c r="I463" s="45"/>
    </row>
    <row r="464" spans="1:9" s="1" customFormat="1">
      <c r="A464" s="53"/>
      <c r="B464" s="64"/>
      <c r="C464" s="40"/>
      <c r="D464" s="40"/>
      <c r="E464" s="40"/>
      <c r="F464" s="54"/>
      <c r="G464" s="40"/>
      <c r="H464" s="44"/>
      <c r="I464" s="45"/>
    </row>
    <row r="465" spans="1:9" s="1" customFormat="1">
      <c r="A465" s="53"/>
      <c r="B465" s="64"/>
      <c r="C465" s="40"/>
      <c r="D465" s="40"/>
      <c r="E465" s="40"/>
      <c r="F465" s="54"/>
      <c r="G465" s="40"/>
      <c r="H465" s="44"/>
      <c r="I465" s="45"/>
    </row>
    <row r="466" spans="1:9" s="1" customFormat="1">
      <c r="A466" s="53"/>
      <c r="B466" s="64"/>
      <c r="C466" s="40"/>
      <c r="D466" s="40"/>
      <c r="E466" s="40"/>
      <c r="F466" s="54"/>
      <c r="G466" s="40"/>
      <c r="H466" s="44"/>
      <c r="I466" s="45"/>
    </row>
    <row r="467" spans="1:9" s="1" customFormat="1">
      <c r="A467" s="53"/>
      <c r="B467" s="64"/>
      <c r="C467" s="40"/>
      <c r="D467" s="40"/>
      <c r="E467" s="40"/>
      <c r="F467" s="54"/>
      <c r="G467" s="40"/>
      <c r="H467" s="44"/>
      <c r="I467" s="45"/>
    </row>
    <row r="468" spans="1:9" s="1" customFormat="1">
      <c r="A468" s="53"/>
      <c r="B468" s="64"/>
      <c r="C468" s="40"/>
      <c r="D468" s="40"/>
      <c r="E468" s="40"/>
      <c r="F468" s="54"/>
      <c r="G468" s="40"/>
      <c r="H468" s="44"/>
      <c r="I468" s="45"/>
    </row>
    <row r="469" spans="1:9" s="1" customFormat="1">
      <c r="A469" s="53"/>
      <c r="B469" s="64"/>
      <c r="C469" s="40"/>
      <c r="D469" s="40"/>
      <c r="E469" s="40"/>
      <c r="F469" s="54"/>
      <c r="G469" s="40"/>
      <c r="H469" s="44"/>
      <c r="I469" s="45"/>
    </row>
    <row r="470" spans="1:9" s="1" customFormat="1">
      <c r="A470" s="53"/>
      <c r="B470" s="64"/>
      <c r="C470" s="40"/>
      <c r="D470" s="40"/>
      <c r="E470" s="40"/>
      <c r="F470" s="54"/>
      <c r="G470" s="40"/>
      <c r="H470" s="44"/>
      <c r="I470" s="45"/>
    </row>
    <row r="471" spans="1:9" s="1" customFormat="1">
      <c r="A471" s="53"/>
      <c r="B471" s="64"/>
      <c r="C471" s="40"/>
      <c r="D471" s="40"/>
      <c r="E471" s="40"/>
      <c r="F471" s="54"/>
      <c r="G471" s="40"/>
      <c r="H471" s="44"/>
      <c r="I471" s="45"/>
    </row>
    <row r="472" spans="1:9" s="1" customFormat="1">
      <c r="A472" s="53"/>
      <c r="B472" s="64"/>
      <c r="C472" s="40"/>
      <c r="D472" s="40"/>
      <c r="E472" s="40"/>
      <c r="F472" s="54"/>
      <c r="G472" s="40"/>
      <c r="H472" s="44"/>
      <c r="I472" s="45"/>
    </row>
    <row r="473" spans="1:9" s="1" customFormat="1">
      <c r="A473" s="53"/>
      <c r="B473" s="64"/>
      <c r="C473" s="40"/>
      <c r="D473" s="40"/>
      <c r="E473" s="40"/>
      <c r="F473" s="54"/>
      <c r="G473" s="40"/>
      <c r="H473" s="44"/>
      <c r="I473" s="45"/>
    </row>
    <row r="474" spans="1:9" s="1" customFormat="1">
      <c r="A474" s="69"/>
      <c r="B474" s="46"/>
      <c r="C474" s="46"/>
      <c r="D474" s="46"/>
      <c r="E474" s="46"/>
      <c r="F474" s="46"/>
      <c r="G474" s="46"/>
      <c r="H474" s="46"/>
      <c r="I474" s="46"/>
    </row>
    <row r="475" spans="1:9" s="1" customFormat="1">
      <c r="A475"/>
      <c r="B475" s="40"/>
      <c r="C475" s="40"/>
      <c r="D475" s="40"/>
      <c r="E475" s="40"/>
      <c r="F475"/>
      <c r="G475"/>
      <c r="H475"/>
      <c r="I475"/>
    </row>
    <row r="476" spans="1:9" s="1" customFormat="1">
      <c r="A476"/>
      <c r="B476"/>
      <c r="C476" s="65"/>
      <c r="D476" s="65"/>
      <c r="E476" s="66"/>
      <c r="F476" s="67"/>
      <c r="G476" s="65"/>
      <c r="H476"/>
      <c r="I476" s="68"/>
    </row>
    <row r="477" spans="1:9" s="1" customFormat="1" ht="12"/>
    <row r="478" spans="1:9" s="1" customFormat="1" ht="20.25">
      <c r="A478" s="42"/>
      <c r="B478" s="41"/>
      <c r="G478" s="43"/>
      <c r="H478" s="43"/>
      <c r="I478" s="43"/>
    </row>
    <row r="479" spans="1:9" s="1" customFormat="1" ht="20.25">
      <c r="A479" s="43"/>
      <c r="B479" s="43"/>
      <c r="C479" s="43"/>
      <c r="D479" s="43"/>
      <c r="E479" s="43"/>
      <c r="F479" s="43"/>
      <c r="G479" s="43"/>
      <c r="H479" s="43"/>
      <c r="I479" s="43"/>
    </row>
    <row r="480" spans="1:9" s="1" customFormat="1" ht="20.25">
      <c r="A480" s="506"/>
      <c r="B480" s="563"/>
      <c r="C480" s="563"/>
      <c r="D480" s="147"/>
      <c r="E480" s="43"/>
      <c r="F480" s="43"/>
      <c r="G480" s="43"/>
      <c r="H480" s="43"/>
      <c r="I480" s="43"/>
    </row>
    <row r="481" spans="1:9" s="1" customFormat="1">
      <c r="A481" s="55"/>
      <c r="B481" s="55"/>
      <c r="C481" s="55"/>
      <c r="D481" s="55"/>
      <c r="E481" s="55"/>
      <c r="F481" s="55"/>
      <c r="G481" s="56"/>
      <c r="H481" s="56"/>
      <c r="I481" s="510"/>
    </row>
    <row r="482" spans="1:9" s="1" customFormat="1">
      <c r="A482" s="55"/>
      <c r="B482" s="55"/>
      <c r="C482" s="55"/>
      <c r="D482" s="55"/>
      <c r="E482" s="55"/>
      <c r="F482" s="55"/>
      <c r="G482" s="56"/>
      <c r="H482" s="56"/>
      <c r="I482" s="510"/>
    </row>
    <row r="483" spans="1:9" s="1" customFormat="1">
      <c r="A483"/>
      <c r="B483"/>
      <c r="C483"/>
      <c r="D483"/>
      <c r="E483"/>
      <c r="F483"/>
      <c r="G483"/>
      <c r="H483" s="40"/>
      <c r="I483"/>
    </row>
    <row r="484" spans="1:9" s="1" customFormat="1">
      <c r="A484"/>
      <c r="B484"/>
      <c r="C484"/>
      <c r="D484"/>
      <c r="E484"/>
      <c r="F484"/>
      <c r="G484" s="47"/>
      <c r="H484" s="57"/>
      <c r="I484" s="40"/>
    </row>
    <row r="485" spans="1:9" s="1" customFormat="1">
      <c r="A485"/>
      <c r="B485"/>
      <c r="C485"/>
      <c r="D485"/>
      <c r="E485"/>
      <c r="F485"/>
      <c r="G485" s="48"/>
      <c r="H485" s="57"/>
      <c r="I485" s="40"/>
    </row>
    <row r="486" spans="1:9" s="1" customFormat="1">
      <c r="A486"/>
      <c r="B486"/>
      <c r="C486"/>
      <c r="D486"/>
      <c r="E486"/>
      <c r="F486"/>
      <c r="G486" s="49"/>
      <c r="H486" s="57"/>
      <c r="I486" s="40"/>
    </row>
    <row r="487" spans="1:9" s="1" customFormat="1">
      <c r="A487"/>
      <c r="B487"/>
      <c r="C487"/>
      <c r="D487"/>
      <c r="E487"/>
      <c r="F487"/>
      <c r="G487" s="49"/>
      <c r="H487" s="57"/>
      <c r="I487" s="40"/>
    </row>
    <row r="488" spans="1:9" s="1" customFormat="1">
      <c r="A488"/>
      <c r="B488"/>
      <c r="C488"/>
      <c r="D488"/>
      <c r="E488"/>
      <c r="F488"/>
      <c r="G488" s="49"/>
      <c r="H488" s="57"/>
      <c r="I488" s="40"/>
    </row>
    <row r="489" spans="1:9" s="1" customFormat="1">
      <c r="A489"/>
      <c r="B489"/>
      <c r="C489"/>
      <c r="D489"/>
      <c r="E489"/>
      <c r="F489"/>
      <c r="G489" s="49"/>
      <c r="H489" s="57"/>
      <c r="I489" s="40"/>
    </row>
    <row r="490" spans="1:9" s="1" customFormat="1">
      <c r="A490"/>
      <c r="B490"/>
      <c r="C490"/>
      <c r="D490"/>
      <c r="E490"/>
      <c r="F490"/>
      <c r="G490"/>
      <c r="H490"/>
      <c r="I490"/>
    </row>
    <row r="491" spans="1:9" s="1" customFormat="1">
      <c r="A491" s="55"/>
      <c r="B491" s="55"/>
      <c r="C491" s="55"/>
      <c r="D491" s="55"/>
      <c r="E491" s="55"/>
      <c r="F491" s="55"/>
      <c r="G491" s="509"/>
      <c r="H491" s="58"/>
      <c r="I491" s="58"/>
    </row>
    <row r="492" spans="1:9" s="1" customFormat="1">
      <c r="A492" s="55"/>
      <c r="B492" s="55"/>
      <c r="C492" s="55"/>
      <c r="D492" s="55"/>
      <c r="E492" s="55"/>
      <c r="F492" s="55"/>
      <c r="G492" s="509"/>
      <c r="H492" s="58"/>
      <c r="I492" s="58"/>
    </row>
    <row r="493" spans="1:9" s="1" customFormat="1">
      <c r="A493" s="50"/>
      <c r="B493"/>
      <c r="C493" s="51"/>
      <c r="D493" s="51"/>
      <c r="E493" s="51"/>
      <c r="F493"/>
      <c r="G493" s="51"/>
      <c r="H493" s="59"/>
      <c r="I493" s="40"/>
    </row>
    <row r="494" spans="1:9" s="1" customFormat="1">
      <c r="A494"/>
      <c r="B494"/>
      <c r="C494"/>
      <c r="D494"/>
      <c r="E494"/>
      <c r="F494"/>
      <c r="G494" s="40"/>
      <c r="H494" s="40"/>
      <c r="I494" s="57"/>
    </row>
    <row r="495" spans="1:9" s="1" customFormat="1">
      <c r="A495"/>
      <c r="B495"/>
      <c r="C495"/>
      <c r="D495"/>
      <c r="E495"/>
      <c r="F495"/>
      <c r="G495" s="57"/>
      <c r="H495" s="40"/>
      <c r="I495" s="40"/>
    </row>
    <row r="496" spans="1:9" s="1" customFormat="1">
      <c r="A496"/>
      <c r="B496"/>
      <c r="C496"/>
      <c r="D496"/>
      <c r="E496"/>
      <c r="F496"/>
      <c r="G496" s="38"/>
      <c r="H496" s="40"/>
      <c r="I496" s="40"/>
    </row>
    <row r="497" spans="1:9" s="1" customFormat="1">
      <c r="A497"/>
      <c r="B497"/>
      <c r="C497"/>
      <c r="D497"/>
      <c r="E497"/>
      <c r="F497"/>
      <c r="G497" s="60"/>
      <c r="H497" s="40"/>
      <c r="I497" s="40"/>
    </row>
    <row r="498" spans="1:9" s="1" customFormat="1">
      <c r="A498"/>
      <c r="B498"/>
      <c r="C498"/>
      <c r="D498"/>
      <c r="E498"/>
      <c r="F498" s="40"/>
      <c r="G498"/>
      <c r="H498"/>
      <c r="I498"/>
    </row>
    <row r="499" spans="1:9" s="1" customFormat="1">
      <c r="A499" s="52"/>
      <c r="B499"/>
      <c r="C499"/>
      <c r="D499"/>
      <c r="E499"/>
      <c r="F499" s="40"/>
      <c r="G499"/>
      <c r="H499"/>
      <c r="I499"/>
    </row>
    <row r="500" spans="1:9" s="1" customFormat="1">
      <c r="A500"/>
      <c r="B500" s="61"/>
      <c r="C500"/>
      <c r="D500"/>
      <c r="E500"/>
      <c r="F500"/>
      <c r="G500"/>
      <c r="H500"/>
      <c r="I500"/>
    </row>
    <row r="501" spans="1:9" s="1" customFormat="1">
      <c r="A501" s="507"/>
      <c r="B501" s="62"/>
      <c r="C501" s="62"/>
      <c r="D501" s="62"/>
      <c r="E501" s="507"/>
      <c r="F501" s="507"/>
      <c r="G501" s="507"/>
      <c r="H501" s="507"/>
      <c r="I501" s="507"/>
    </row>
    <row r="502" spans="1:9" s="1" customFormat="1">
      <c r="A502" s="507"/>
      <c r="B502" s="62"/>
      <c r="C502" s="62"/>
      <c r="D502" s="62"/>
      <c r="E502" s="62"/>
      <c r="F502" s="62"/>
      <c r="G502" s="508"/>
      <c r="H502" s="508"/>
      <c r="I502" s="508"/>
    </row>
    <row r="503" spans="1:9" s="1" customFormat="1">
      <c r="A503" s="53"/>
      <c r="B503" s="63"/>
      <c r="C503" s="40"/>
      <c r="D503" s="40"/>
      <c r="E503" s="40"/>
      <c r="F503" s="54"/>
      <c r="G503" s="40"/>
      <c r="H503" s="40"/>
      <c r="I503" s="45"/>
    </row>
    <row r="504" spans="1:9" s="1" customFormat="1">
      <c r="A504" s="53"/>
      <c r="B504" s="63"/>
      <c r="C504" s="40"/>
      <c r="D504" s="40"/>
      <c r="E504" s="40"/>
      <c r="F504" s="54"/>
      <c r="G504" s="40"/>
      <c r="H504" s="44"/>
      <c r="I504" s="45"/>
    </row>
    <row r="505" spans="1:9" s="1" customFormat="1">
      <c r="A505" s="53"/>
      <c r="B505" s="63"/>
      <c r="C505" s="40"/>
      <c r="D505" s="40"/>
      <c r="E505" s="40"/>
      <c r="F505" s="54"/>
      <c r="G505" s="40"/>
      <c r="H505" s="44"/>
      <c r="I505"/>
    </row>
    <row r="506" spans="1:9" s="1" customFormat="1">
      <c r="A506" s="53"/>
      <c r="B506" s="63"/>
      <c r="C506" s="40"/>
      <c r="D506" s="40"/>
      <c r="E506" s="40"/>
      <c r="F506" s="54"/>
      <c r="G506" s="40"/>
      <c r="H506" s="44"/>
      <c r="I506" s="45"/>
    </row>
    <row r="507" spans="1:9" s="1" customFormat="1">
      <c r="A507" s="53"/>
      <c r="B507" s="64"/>
      <c r="C507" s="40"/>
      <c r="D507" s="40"/>
      <c r="E507" s="40"/>
      <c r="F507" s="54"/>
      <c r="G507" s="40"/>
      <c r="H507" s="44"/>
      <c r="I507" s="45"/>
    </row>
    <row r="508" spans="1:9" s="1" customFormat="1">
      <c r="A508" s="53"/>
      <c r="B508" s="64"/>
      <c r="C508" s="40"/>
      <c r="D508" s="40"/>
      <c r="E508" s="40"/>
      <c r="F508" s="54"/>
      <c r="G508" s="40"/>
      <c r="H508" s="44"/>
      <c r="I508" s="45"/>
    </row>
    <row r="509" spans="1:9" s="1" customFormat="1">
      <c r="A509" s="53"/>
      <c r="B509" s="64"/>
      <c r="C509" s="40"/>
      <c r="D509" s="40"/>
      <c r="E509" s="40"/>
      <c r="F509" s="54"/>
      <c r="G509" s="40"/>
      <c r="H509" s="44"/>
      <c r="I509" s="45"/>
    </row>
    <row r="510" spans="1:9" s="1" customFormat="1">
      <c r="A510" s="53"/>
      <c r="B510" s="64"/>
      <c r="C510" s="40"/>
      <c r="D510" s="40"/>
      <c r="E510" s="40"/>
      <c r="F510" s="54"/>
      <c r="G510" s="40"/>
      <c r="H510" s="44"/>
      <c r="I510" s="45"/>
    </row>
    <row r="511" spans="1:9" s="1" customFormat="1">
      <c r="A511" s="53"/>
      <c r="B511" s="64"/>
      <c r="C511" s="40"/>
      <c r="D511" s="40"/>
      <c r="E511" s="40"/>
      <c r="F511" s="54"/>
      <c r="G511" s="40"/>
      <c r="H511" s="44"/>
      <c r="I511" s="45"/>
    </row>
    <row r="512" spans="1:9" s="1" customFormat="1">
      <c r="A512" s="53"/>
      <c r="B512" s="64"/>
      <c r="C512" s="40"/>
      <c r="D512" s="40"/>
      <c r="E512" s="40"/>
      <c r="F512" s="54"/>
      <c r="G512" s="40"/>
      <c r="H512" s="44"/>
      <c r="I512" s="45"/>
    </row>
    <row r="513" spans="1:9" s="1" customFormat="1">
      <c r="A513" s="53"/>
      <c r="B513" s="64"/>
      <c r="C513" s="40"/>
      <c r="D513" s="40"/>
      <c r="E513" s="40"/>
      <c r="F513" s="54"/>
      <c r="G513" s="40"/>
      <c r="H513" s="44"/>
      <c r="I513" s="45"/>
    </row>
    <row r="514" spans="1:9" s="1" customFormat="1">
      <c r="A514" s="53"/>
      <c r="B514" s="64"/>
      <c r="C514" s="40"/>
      <c r="D514" s="40"/>
      <c r="E514" s="40"/>
      <c r="F514" s="54"/>
      <c r="G514" s="40"/>
      <c r="H514" s="44"/>
      <c r="I514" s="45"/>
    </row>
    <row r="515" spans="1:9" s="1" customFormat="1">
      <c r="A515" s="53"/>
      <c r="B515" s="64"/>
      <c r="C515" s="40"/>
      <c r="D515" s="40"/>
      <c r="E515" s="40"/>
      <c r="F515" s="54"/>
      <c r="G515" s="40"/>
      <c r="H515" s="44"/>
      <c r="I515" s="45"/>
    </row>
    <row r="516" spans="1:9" s="1" customFormat="1">
      <c r="A516" s="53"/>
      <c r="B516" s="64"/>
      <c r="C516" s="40"/>
      <c r="D516" s="40"/>
      <c r="E516" s="40"/>
      <c r="F516" s="54"/>
      <c r="G516" s="40"/>
      <c r="H516" s="44"/>
      <c r="I516" s="45"/>
    </row>
    <row r="517" spans="1:9" s="1" customFormat="1">
      <c r="A517" s="53"/>
      <c r="B517" s="64"/>
      <c r="C517" s="40"/>
      <c r="D517" s="40"/>
      <c r="E517" s="40"/>
      <c r="F517" s="54"/>
      <c r="G517" s="40"/>
      <c r="H517" s="44"/>
      <c r="I517" s="45"/>
    </row>
    <row r="518" spans="1:9" s="1" customFormat="1">
      <c r="A518" s="53"/>
      <c r="B518" s="64"/>
      <c r="C518" s="40"/>
      <c r="D518" s="40"/>
      <c r="E518" s="40"/>
      <c r="F518" s="54"/>
      <c r="G518" s="40"/>
      <c r="H518" s="44"/>
      <c r="I518" s="45"/>
    </row>
    <row r="519" spans="1:9" s="1" customFormat="1">
      <c r="A519" s="53"/>
      <c r="B519" s="64"/>
      <c r="C519" s="40"/>
      <c r="D519" s="40"/>
      <c r="E519" s="40"/>
      <c r="F519" s="54"/>
      <c r="G519" s="40"/>
      <c r="H519" s="44"/>
      <c r="I519" s="45"/>
    </row>
    <row r="520" spans="1:9" s="1" customFormat="1">
      <c r="A520" s="53"/>
      <c r="B520" s="64"/>
      <c r="C520" s="40"/>
      <c r="D520" s="40"/>
      <c r="E520" s="40"/>
      <c r="F520" s="54"/>
      <c r="G520" s="40"/>
      <c r="H520" s="44"/>
      <c r="I520" s="45"/>
    </row>
    <row r="521" spans="1:9" s="1" customFormat="1">
      <c r="A521" s="53"/>
      <c r="B521" s="64"/>
      <c r="C521" s="40"/>
      <c r="D521" s="40"/>
      <c r="E521" s="40"/>
      <c r="F521" s="54"/>
      <c r="G521" s="40"/>
      <c r="H521" s="44"/>
      <c r="I521" s="45"/>
    </row>
    <row r="522" spans="1:9" s="1" customFormat="1">
      <c r="A522" s="53"/>
      <c r="B522" s="64"/>
      <c r="C522" s="40"/>
      <c r="D522" s="40"/>
      <c r="E522" s="40"/>
      <c r="F522" s="54"/>
      <c r="G522" s="40"/>
      <c r="H522" s="44"/>
      <c r="I522" s="45"/>
    </row>
    <row r="523" spans="1:9" s="1" customFormat="1">
      <c r="A523" s="53"/>
      <c r="B523" s="64"/>
      <c r="C523" s="40"/>
      <c r="D523" s="40"/>
      <c r="E523" s="40"/>
      <c r="F523" s="54"/>
      <c r="G523" s="40"/>
      <c r="H523" s="44"/>
      <c r="I523" s="45"/>
    </row>
    <row r="524" spans="1:9" s="1" customFormat="1">
      <c r="A524" s="53"/>
      <c r="B524" s="64"/>
      <c r="C524" s="40"/>
      <c r="D524" s="40"/>
      <c r="E524" s="40"/>
      <c r="F524" s="54"/>
      <c r="G524" s="40"/>
      <c r="H524" s="44"/>
      <c r="I524" s="45"/>
    </row>
    <row r="525" spans="1:9" s="1" customFormat="1">
      <c r="A525" s="53"/>
      <c r="B525" s="64"/>
      <c r="C525" s="40"/>
      <c r="D525" s="40"/>
      <c r="E525" s="40"/>
      <c r="F525" s="54"/>
      <c r="G525" s="40"/>
      <c r="H525" s="44"/>
      <c r="I525" s="45"/>
    </row>
    <row r="526" spans="1:9" s="1" customFormat="1">
      <c r="A526" s="53"/>
      <c r="B526" s="64"/>
      <c r="C526" s="40"/>
      <c r="D526" s="40"/>
      <c r="E526" s="40"/>
      <c r="F526" s="54"/>
      <c r="G526" s="40"/>
      <c r="H526" s="44"/>
      <c r="I526" s="45"/>
    </row>
    <row r="527" spans="1:9" s="1" customFormat="1">
      <c r="A527" s="53"/>
      <c r="B527" s="64"/>
      <c r="C527" s="40"/>
      <c r="D527" s="40"/>
      <c r="E527" s="40"/>
      <c r="F527" s="54"/>
      <c r="G527" s="40"/>
      <c r="H527" s="44"/>
      <c r="I527" s="45"/>
    </row>
    <row r="528" spans="1:9" s="1" customFormat="1">
      <c r="A528" s="69"/>
      <c r="B528" s="46"/>
      <c r="C528" s="46"/>
      <c r="D528" s="46"/>
      <c r="E528" s="46"/>
      <c r="F528" s="46"/>
      <c r="G528" s="46"/>
      <c r="H528" s="46"/>
      <c r="I528" s="46"/>
    </row>
    <row r="529" spans="1:9" s="1" customFormat="1">
      <c r="A529"/>
      <c r="B529" s="40"/>
      <c r="C529" s="40"/>
      <c r="D529" s="40"/>
      <c r="E529" s="40"/>
      <c r="F529"/>
      <c r="G529"/>
      <c r="H529"/>
      <c r="I529"/>
    </row>
    <row r="530" spans="1:9" s="1" customFormat="1">
      <c r="A530"/>
      <c r="B530"/>
      <c r="C530" s="65"/>
      <c r="D530" s="65"/>
      <c r="E530" s="66"/>
      <c r="F530" s="67"/>
      <c r="G530" s="65"/>
      <c r="H530"/>
      <c r="I530" s="68"/>
    </row>
    <row r="531" spans="1:9" s="1" customFormat="1" ht="12"/>
    <row r="532" spans="1:9" s="1" customFormat="1" ht="20.25">
      <c r="A532" s="42"/>
      <c r="B532" s="41"/>
      <c r="G532" s="43"/>
      <c r="H532" s="43"/>
      <c r="I532" s="43"/>
    </row>
    <row r="533" spans="1:9" s="1" customFormat="1" ht="20.25">
      <c r="A533" s="43"/>
      <c r="B533" s="43"/>
      <c r="C533" s="43"/>
      <c r="D533" s="43"/>
      <c r="E533" s="43"/>
      <c r="F533" s="43"/>
      <c r="G533" s="43"/>
      <c r="H533" s="43"/>
      <c r="I533" s="43"/>
    </row>
    <row r="534" spans="1:9" s="1" customFormat="1" ht="29.25" customHeight="1">
      <c r="A534" s="506"/>
      <c r="B534" s="563"/>
      <c r="C534" s="563"/>
      <c r="D534" s="147"/>
      <c r="E534" s="43"/>
      <c r="F534" s="43"/>
      <c r="G534" s="43"/>
      <c r="H534" s="43"/>
      <c r="I534" s="43"/>
    </row>
    <row r="535" spans="1:9" s="1" customFormat="1">
      <c r="A535" s="55"/>
      <c r="B535" s="55"/>
      <c r="C535" s="55"/>
      <c r="D535" s="55"/>
      <c r="E535" s="55"/>
      <c r="F535" s="55"/>
      <c r="G535" s="56"/>
      <c r="H535" s="56"/>
      <c r="I535" s="510"/>
    </row>
    <row r="536" spans="1:9" s="1" customFormat="1">
      <c r="A536" s="55"/>
      <c r="B536" s="55"/>
      <c r="C536" s="55"/>
      <c r="D536" s="55"/>
      <c r="E536" s="55"/>
      <c r="F536" s="55"/>
      <c r="G536" s="56"/>
      <c r="H536" s="56"/>
      <c r="I536" s="510"/>
    </row>
    <row r="537" spans="1:9" s="1" customFormat="1">
      <c r="A537"/>
      <c r="B537"/>
      <c r="C537"/>
      <c r="D537"/>
      <c r="E537"/>
      <c r="F537"/>
      <c r="G537"/>
      <c r="H537" s="40"/>
      <c r="I537"/>
    </row>
    <row r="538" spans="1:9" s="1" customFormat="1">
      <c r="A538"/>
      <c r="B538"/>
      <c r="C538"/>
      <c r="D538"/>
      <c r="E538"/>
      <c r="F538"/>
      <c r="G538" s="48"/>
      <c r="H538" s="57"/>
      <c r="I538" s="40"/>
    </row>
    <row r="539" spans="1:9" s="1" customFormat="1">
      <c r="A539"/>
      <c r="B539"/>
      <c r="C539"/>
      <c r="D539"/>
      <c r="E539"/>
      <c r="F539"/>
      <c r="G539" s="48"/>
      <c r="H539" s="57"/>
      <c r="I539" s="40"/>
    </row>
    <row r="540" spans="1:9" s="1" customFormat="1">
      <c r="A540"/>
      <c r="B540"/>
      <c r="C540"/>
      <c r="D540"/>
      <c r="E540"/>
      <c r="F540"/>
      <c r="G540" s="49"/>
      <c r="H540" s="57"/>
      <c r="I540" s="40"/>
    </row>
    <row r="541" spans="1:9" s="1" customFormat="1">
      <c r="A541"/>
      <c r="B541"/>
      <c r="C541"/>
      <c r="D541"/>
      <c r="E541"/>
      <c r="F541"/>
      <c r="G541" s="49"/>
      <c r="H541" s="57"/>
      <c r="I541" s="40"/>
    </row>
    <row r="542" spans="1:9" s="1" customFormat="1">
      <c r="A542"/>
      <c r="B542"/>
      <c r="C542"/>
      <c r="D542"/>
      <c r="E542"/>
      <c r="F542"/>
      <c r="G542" s="49"/>
      <c r="H542" s="57"/>
      <c r="I542" s="40"/>
    </row>
    <row r="543" spans="1:9" s="1" customFormat="1">
      <c r="A543"/>
      <c r="B543"/>
      <c r="C543"/>
      <c r="D543"/>
      <c r="E543"/>
      <c r="F543"/>
      <c r="G543" s="49"/>
      <c r="H543" s="57"/>
      <c r="I543" s="40"/>
    </row>
    <row r="544" spans="1:9" s="1" customFormat="1">
      <c r="A544"/>
      <c r="B544"/>
      <c r="C544"/>
      <c r="D544"/>
      <c r="E544"/>
      <c r="F544"/>
      <c r="G544"/>
      <c r="H544"/>
      <c r="I544"/>
    </row>
    <row r="545" spans="1:9" s="1" customFormat="1">
      <c r="A545" s="55"/>
      <c r="B545" s="55"/>
      <c r="C545" s="55"/>
      <c r="D545" s="55"/>
      <c r="E545" s="55"/>
      <c r="F545" s="55"/>
      <c r="G545" s="509"/>
      <c r="H545" s="58"/>
      <c r="I545" s="58"/>
    </row>
    <row r="546" spans="1:9" s="1" customFormat="1">
      <c r="A546" s="55"/>
      <c r="B546" s="55"/>
      <c r="C546" s="55"/>
      <c r="D546" s="55"/>
      <c r="E546" s="55"/>
      <c r="F546" s="55"/>
      <c r="G546" s="509"/>
      <c r="H546" s="58"/>
      <c r="I546" s="58"/>
    </row>
    <row r="547" spans="1:9" s="1" customFormat="1">
      <c r="A547" s="50"/>
      <c r="B547"/>
      <c r="C547" s="51"/>
      <c r="D547" s="51"/>
      <c r="E547" s="51"/>
      <c r="F547"/>
      <c r="G547" s="51"/>
      <c r="H547" s="59"/>
      <c r="I547" s="40"/>
    </row>
    <row r="548" spans="1:9" s="1" customFormat="1">
      <c r="A548"/>
      <c r="B548"/>
      <c r="C548"/>
      <c r="D548"/>
      <c r="E548"/>
      <c r="F548"/>
      <c r="G548" s="40"/>
      <c r="H548" s="40"/>
      <c r="I548" s="57"/>
    </row>
    <row r="549" spans="1:9" s="1" customFormat="1">
      <c r="A549"/>
      <c r="B549"/>
      <c r="C549"/>
      <c r="D549"/>
      <c r="E549"/>
      <c r="F549"/>
      <c r="G549" s="57"/>
      <c r="H549" s="40"/>
      <c r="I549" s="40"/>
    </row>
    <row r="550" spans="1:9" s="1" customFormat="1">
      <c r="A550"/>
      <c r="B550"/>
      <c r="C550"/>
      <c r="D550"/>
      <c r="E550"/>
      <c r="F550"/>
      <c r="G550" s="38"/>
      <c r="H550" s="40"/>
      <c r="I550" s="40"/>
    </row>
    <row r="551" spans="1:9" s="1" customFormat="1">
      <c r="A551"/>
      <c r="B551"/>
      <c r="C551"/>
      <c r="D551"/>
      <c r="E551"/>
      <c r="F551"/>
      <c r="G551" s="60"/>
      <c r="H551" s="40"/>
      <c r="I551" s="40"/>
    </row>
    <row r="552" spans="1:9" s="1" customFormat="1">
      <c r="A552"/>
      <c r="B552"/>
      <c r="C552"/>
      <c r="D552"/>
      <c r="E552"/>
      <c r="F552" s="40"/>
      <c r="G552"/>
      <c r="H552"/>
      <c r="I552"/>
    </row>
    <row r="553" spans="1:9" s="1" customFormat="1">
      <c r="A553" s="52"/>
      <c r="B553"/>
      <c r="C553"/>
      <c r="D553"/>
      <c r="E553"/>
      <c r="F553" s="40"/>
      <c r="G553"/>
      <c r="H553"/>
      <c r="I553"/>
    </row>
    <row r="554" spans="1:9" s="1" customFormat="1">
      <c r="A554"/>
      <c r="B554" s="61"/>
      <c r="C554"/>
      <c r="D554"/>
      <c r="E554"/>
      <c r="F554"/>
      <c r="G554"/>
      <c r="H554"/>
      <c r="I554"/>
    </row>
    <row r="555" spans="1:9" s="1" customFormat="1">
      <c r="A555" s="507"/>
      <c r="B555" s="62"/>
      <c r="C555" s="62"/>
      <c r="D555" s="62"/>
      <c r="E555" s="507"/>
      <c r="F555" s="507"/>
      <c r="G555" s="507"/>
      <c r="H555" s="507"/>
      <c r="I555" s="507"/>
    </row>
    <row r="556" spans="1:9" s="1" customFormat="1">
      <c r="A556" s="507"/>
      <c r="B556" s="62"/>
      <c r="C556" s="62"/>
      <c r="D556" s="62"/>
      <c r="E556" s="62"/>
      <c r="F556" s="62"/>
      <c r="G556" s="508"/>
      <c r="H556" s="508"/>
      <c r="I556" s="508"/>
    </row>
    <row r="557" spans="1:9" s="1" customFormat="1">
      <c r="A557" s="53"/>
      <c r="B557" s="63"/>
      <c r="C557" s="40"/>
      <c r="D557" s="40"/>
      <c r="E557" s="40"/>
      <c r="F557" s="54"/>
      <c r="G557" s="40"/>
      <c r="H557" s="40"/>
      <c r="I557" s="45"/>
    </row>
    <row r="558" spans="1:9" s="1" customFormat="1">
      <c r="A558" s="53"/>
      <c r="B558" s="63"/>
      <c r="C558" s="40"/>
      <c r="D558" s="40"/>
      <c r="E558" s="40"/>
      <c r="F558" s="54"/>
      <c r="G558" s="40"/>
      <c r="H558" s="44"/>
      <c r="I558" s="45"/>
    </row>
    <row r="559" spans="1:9" s="1" customFormat="1">
      <c r="A559" s="53"/>
      <c r="B559" s="63"/>
      <c r="C559" s="40"/>
      <c r="D559" s="40"/>
      <c r="E559" s="40"/>
      <c r="F559" s="54"/>
      <c r="G559" s="40"/>
      <c r="H559" s="44"/>
      <c r="I559"/>
    </row>
    <row r="560" spans="1:9" s="1" customFormat="1">
      <c r="A560" s="53"/>
      <c r="B560" s="63"/>
      <c r="C560" s="40"/>
      <c r="D560" s="40"/>
      <c r="E560" s="40"/>
      <c r="F560" s="54"/>
      <c r="G560" s="40"/>
      <c r="H560" s="44"/>
      <c r="I560" s="45"/>
    </row>
    <row r="561" spans="1:9" s="1" customFormat="1">
      <c r="A561" s="53"/>
      <c r="B561" s="64"/>
      <c r="C561" s="40"/>
      <c r="D561" s="40"/>
      <c r="E561" s="40"/>
      <c r="F561" s="54"/>
      <c r="G561" s="40"/>
      <c r="H561" s="44"/>
      <c r="I561" s="45"/>
    </row>
    <row r="562" spans="1:9" s="1" customFormat="1">
      <c r="A562" s="53"/>
      <c r="B562" s="64"/>
      <c r="C562" s="40"/>
      <c r="D562" s="40"/>
      <c r="E562" s="40"/>
      <c r="F562" s="54"/>
      <c r="G562" s="40"/>
      <c r="H562" s="44"/>
      <c r="I562" s="45"/>
    </row>
    <row r="563" spans="1:9" s="1" customFormat="1">
      <c r="A563" s="53"/>
      <c r="B563" s="64"/>
      <c r="C563" s="40"/>
      <c r="D563" s="40"/>
      <c r="E563" s="40"/>
      <c r="F563" s="54"/>
      <c r="G563" s="40"/>
      <c r="H563" s="44"/>
      <c r="I563" s="45"/>
    </row>
    <row r="564" spans="1:9" s="1" customFormat="1">
      <c r="A564" s="53"/>
      <c r="B564" s="64"/>
      <c r="C564" s="40"/>
      <c r="D564" s="40"/>
      <c r="E564" s="40"/>
      <c r="F564" s="54"/>
      <c r="G564" s="40"/>
      <c r="H564" s="44"/>
      <c r="I564" s="45"/>
    </row>
    <row r="565" spans="1:9" s="1" customFormat="1">
      <c r="A565" s="53"/>
      <c r="B565" s="64"/>
      <c r="C565" s="40"/>
      <c r="D565" s="40"/>
      <c r="E565" s="40"/>
      <c r="F565" s="54"/>
      <c r="G565" s="40"/>
      <c r="H565" s="44"/>
      <c r="I565" s="45"/>
    </row>
    <row r="566" spans="1:9" s="1" customFormat="1">
      <c r="A566" s="53"/>
      <c r="B566" s="64"/>
      <c r="C566" s="40"/>
      <c r="D566" s="40"/>
      <c r="E566" s="40"/>
      <c r="F566" s="54"/>
      <c r="G566" s="40"/>
      <c r="H566" s="44"/>
      <c r="I566" s="45"/>
    </row>
    <row r="567" spans="1:9" s="1" customFormat="1">
      <c r="A567" s="53"/>
      <c r="B567" s="64"/>
      <c r="C567" s="40"/>
      <c r="D567" s="40"/>
      <c r="E567" s="40"/>
      <c r="F567" s="54"/>
      <c r="G567" s="40"/>
      <c r="H567" s="44"/>
      <c r="I567" s="45"/>
    </row>
    <row r="568" spans="1:9" s="1" customFormat="1">
      <c r="A568" s="53"/>
      <c r="B568" s="64"/>
      <c r="C568" s="40"/>
      <c r="D568" s="40"/>
      <c r="E568" s="40"/>
      <c r="F568" s="54"/>
      <c r="G568" s="40"/>
      <c r="H568" s="44"/>
      <c r="I568" s="45"/>
    </row>
    <row r="569" spans="1:9" s="1" customFormat="1">
      <c r="A569" s="53"/>
      <c r="B569" s="64"/>
      <c r="C569" s="40"/>
      <c r="D569" s="40"/>
      <c r="E569" s="40"/>
      <c r="F569" s="54"/>
      <c r="G569" s="40"/>
      <c r="H569" s="44"/>
      <c r="I569" s="45"/>
    </row>
    <row r="570" spans="1:9" s="1" customFormat="1">
      <c r="A570" s="53"/>
      <c r="B570" s="64"/>
      <c r="C570" s="40"/>
      <c r="D570" s="40"/>
      <c r="E570" s="40"/>
      <c r="F570" s="54"/>
      <c r="G570" s="40"/>
      <c r="H570" s="44"/>
      <c r="I570" s="45"/>
    </row>
    <row r="571" spans="1:9" s="1" customFormat="1">
      <c r="A571" s="53"/>
      <c r="B571" s="64"/>
      <c r="C571" s="40"/>
      <c r="D571" s="40"/>
      <c r="E571" s="40"/>
      <c r="F571" s="54"/>
      <c r="G571" s="40"/>
      <c r="H571" s="44"/>
      <c r="I571" s="45"/>
    </row>
    <row r="572" spans="1:9" s="1" customFormat="1">
      <c r="A572" s="53"/>
      <c r="B572" s="64"/>
      <c r="C572" s="40"/>
      <c r="D572" s="40"/>
      <c r="E572" s="40"/>
      <c r="F572" s="54"/>
      <c r="G572" s="40"/>
      <c r="H572" s="44"/>
      <c r="I572" s="45"/>
    </row>
    <row r="573" spans="1:9" s="1" customFormat="1">
      <c r="A573" s="53"/>
      <c r="B573" s="64"/>
      <c r="C573" s="40"/>
      <c r="D573" s="40"/>
      <c r="E573" s="40"/>
      <c r="F573" s="54"/>
      <c r="G573" s="40"/>
      <c r="H573" s="44"/>
      <c r="I573" s="45"/>
    </row>
    <row r="574" spans="1:9" s="1" customFormat="1">
      <c r="A574" s="53"/>
      <c r="B574" s="64"/>
      <c r="C574" s="40"/>
      <c r="D574" s="40"/>
      <c r="E574" s="40"/>
      <c r="F574" s="54"/>
      <c r="G574" s="40"/>
      <c r="H574" s="44"/>
      <c r="I574" s="45"/>
    </row>
    <row r="575" spans="1:9" s="1" customFormat="1">
      <c r="A575" s="53"/>
      <c r="B575" s="64"/>
      <c r="C575" s="40"/>
      <c r="D575" s="40"/>
      <c r="E575" s="40"/>
      <c r="F575" s="54"/>
      <c r="G575" s="40"/>
      <c r="H575" s="44"/>
      <c r="I575" s="45"/>
    </row>
    <row r="576" spans="1:9" s="1" customFormat="1">
      <c r="A576" s="53"/>
      <c r="B576" s="64"/>
      <c r="C576" s="40"/>
      <c r="D576" s="40"/>
      <c r="E576" s="40"/>
      <c r="F576" s="54"/>
      <c r="G576" s="40"/>
      <c r="H576" s="44"/>
      <c r="I576" s="45"/>
    </row>
    <row r="577" spans="1:9" s="1" customFormat="1">
      <c r="A577" s="53"/>
      <c r="B577" s="64"/>
      <c r="C577" s="40"/>
      <c r="D577" s="40"/>
      <c r="E577" s="40"/>
      <c r="F577" s="54"/>
      <c r="G577" s="40"/>
      <c r="H577" s="44"/>
      <c r="I577" s="45"/>
    </row>
    <row r="578" spans="1:9" s="1" customFormat="1">
      <c r="A578" s="53"/>
      <c r="B578" s="64"/>
      <c r="C578" s="40"/>
      <c r="D578" s="40"/>
      <c r="E578" s="40"/>
      <c r="F578" s="54"/>
      <c r="G578" s="40"/>
      <c r="H578" s="44"/>
      <c r="I578" s="45"/>
    </row>
    <row r="579" spans="1:9" s="1" customFormat="1">
      <c r="A579" s="53"/>
      <c r="B579" s="64"/>
      <c r="C579" s="40"/>
      <c r="D579" s="40"/>
      <c r="E579" s="40"/>
      <c r="F579" s="54"/>
      <c r="G579" s="40"/>
      <c r="H579" s="44"/>
      <c r="I579" s="45"/>
    </row>
    <row r="580" spans="1:9" s="1" customFormat="1">
      <c r="A580" s="53"/>
      <c r="B580" s="64"/>
      <c r="C580" s="40"/>
      <c r="D580" s="40"/>
      <c r="E580" s="40"/>
      <c r="F580" s="54"/>
      <c r="G580" s="40"/>
      <c r="H580" s="44"/>
      <c r="I580" s="45"/>
    </row>
    <row r="581" spans="1:9" s="1" customFormat="1">
      <c r="A581" s="53"/>
      <c r="B581" s="64"/>
      <c r="C581" s="40"/>
      <c r="D581" s="40"/>
      <c r="E581" s="40"/>
      <c r="F581" s="54"/>
      <c r="G581" s="40"/>
      <c r="H581" s="44"/>
      <c r="I581" s="45"/>
    </row>
    <row r="582" spans="1:9" s="1" customFormat="1">
      <c r="A582" s="69"/>
      <c r="B582" s="46"/>
      <c r="C582" s="46"/>
      <c r="D582" s="46"/>
      <c r="E582" s="46"/>
      <c r="F582" s="46"/>
      <c r="G582" s="46"/>
      <c r="H582" s="46"/>
      <c r="I582" s="46"/>
    </row>
    <row r="583" spans="1:9" s="1" customFormat="1">
      <c r="A583"/>
      <c r="B583" s="40"/>
      <c r="C583" s="40"/>
      <c r="D583" s="40"/>
      <c r="E583" s="40"/>
      <c r="F583"/>
      <c r="G583"/>
      <c r="H583"/>
      <c r="I583"/>
    </row>
    <row r="584" spans="1:9" s="1" customFormat="1">
      <c r="A584"/>
      <c r="B584"/>
      <c r="C584" s="65"/>
      <c r="D584" s="65"/>
      <c r="E584" s="66"/>
      <c r="F584" s="67"/>
      <c r="G584" s="65"/>
      <c r="H584"/>
      <c r="I584" s="68"/>
    </row>
    <row r="585" spans="1:9" s="1" customFormat="1" ht="12"/>
    <row r="586" spans="1:9" s="1" customFormat="1" ht="20.25">
      <c r="A586" s="42"/>
      <c r="B586" s="41"/>
      <c r="G586" s="43"/>
      <c r="H586" s="43"/>
      <c r="I586" s="43"/>
    </row>
    <row r="587" spans="1:9" s="1" customFormat="1" ht="20.25">
      <c r="A587" s="43"/>
      <c r="B587" s="43"/>
      <c r="C587" s="43"/>
      <c r="D587" s="43"/>
      <c r="E587" s="43"/>
      <c r="F587" s="43"/>
      <c r="G587" s="43"/>
      <c r="H587" s="43"/>
      <c r="I587" s="43"/>
    </row>
    <row r="588" spans="1:9" s="1" customFormat="1" ht="31.5" customHeight="1">
      <c r="A588" s="506"/>
      <c r="B588" s="563"/>
      <c r="C588" s="563"/>
      <c r="D588" s="147"/>
      <c r="E588" s="43"/>
      <c r="F588" s="43"/>
      <c r="G588" s="43"/>
      <c r="H588" s="43"/>
      <c r="I588" s="43"/>
    </row>
    <row r="589" spans="1:9" s="1" customFormat="1">
      <c r="A589" s="55"/>
      <c r="B589" s="55"/>
      <c r="C589" s="55"/>
      <c r="D589" s="55"/>
      <c r="E589" s="55"/>
      <c r="F589" s="55"/>
      <c r="G589" s="56"/>
      <c r="H589" s="56"/>
      <c r="I589" s="510"/>
    </row>
    <row r="590" spans="1:9" s="1" customFormat="1">
      <c r="A590" s="55"/>
      <c r="B590" s="55"/>
      <c r="C590" s="55"/>
      <c r="D590" s="55"/>
      <c r="E590" s="55"/>
      <c r="F590" s="55"/>
      <c r="G590" s="56"/>
      <c r="H590" s="56"/>
      <c r="I590" s="510"/>
    </row>
    <row r="591" spans="1:9" s="1" customFormat="1">
      <c r="A591"/>
      <c r="B591"/>
      <c r="C591"/>
      <c r="D591"/>
      <c r="E591"/>
      <c r="F591"/>
      <c r="G591"/>
      <c r="H591" s="40"/>
      <c r="I591"/>
    </row>
    <row r="592" spans="1:9" s="1" customFormat="1">
      <c r="A592"/>
      <c r="B592"/>
      <c r="C592"/>
      <c r="D592"/>
      <c r="E592"/>
      <c r="F592"/>
      <c r="G592" s="48"/>
      <c r="H592" s="57"/>
      <c r="I592" s="40"/>
    </row>
    <row r="593" spans="1:9" s="1" customFormat="1">
      <c r="A593"/>
      <c r="B593"/>
      <c r="C593"/>
      <c r="D593"/>
      <c r="E593"/>
      <c r="F593"/>
      <c r="G593" s="48"/>
      <c r="H593" s="57"/>
      <c r="I593" s="40"/>
    </row>
    <row r="594" spans="1:9" s="1" customFormat="1">
      <c r="A594"/>
      <c r="B594"/>
      <c r="C594"/>
      <c r="D594"/>
      <c r="E594"/>
      <c r="F594"/>
      <c r="G594" s="49"/>
      <c r="H594" s="57"/>
      <c r="I594" s="40"/>
    </row>
    <row r="595" spans="1:9" s="1" customFormat="1">
      <c r="A595"/>
      <c r="B595"/>
      <c r="C595"/>
      <c r="D595"/>
      <c r="E595"/>
      <c r="F595"/>
      <c r="G595" s="49"/>
      <c r="H595" s="57"/>
      <c r="I595" s="40"/>
    </row>
    <row r="596" spans="1:9" s="1" customFormat="1">
      <c r="A596"/>
      <c r="B596"/>
      <c r="C596"/>
      <c r="D596"/>
      <c r="E596"/>
      <c r="F596"/>
      <c r="G596" s="49"/>
      <c r="H596" s="57"/>
      <c r="I596" s="40"/>
    </row>
    <row r="597" spans="1:9" s="1" customFormat="1">
      <c r="A597"/>
      <c r="B597"/>
      <c r="C597"/>
      <c r="D597"/>
      <c r="E597"/>
      <c r="F597"/>
      <c r="G597" s="49"/>
      <c r="H597" s="57"/>
      <c r="I597" s="40"/>
    </row>
    <row r="598" spans="1:9" s="1" customFormat="1">
      <c r="A598"/>
      <c r="B598"/>
      <c r="C598"/>
      <c r="D598"/>
      <c r="E598"/>
      <c r="F598"/>
      <c r="G598"/>
      <c r="H598"/>
      <c r="I598"/>
    </row>
    <row r="599" spans="1:9" s="1" customFormat="1">
      <c r="A599" s="55"/>
      <c r="B599" s="55"/>
      <c r="C599" s="55"/>
      <c r="D599" s="55"/>
      <c r="E599" s="55"/>
      <c r="F599" s="55"/>
      <c r="G599" s="509"/>
      <c r="H599" s="58"/>
      <c r="I599" s="58"/>
    </row>
    <row r="600" spans="1:9" s="1" customFormat="1">
      <c r="A600" s="55"/>
      <c r="B600" s="55"/>
      <c r="C600" s="55"/>
      <c r="D600" s="55"/>
      <c r="E600" s="55"/>
      <c r="F600" s="55"/>
      <c r="G600" s="509"/>
      <c r="H600" s="58"/>
      <c r="I600" s="58"/>
    </row>
    <row r="601" spans="1:9" s="1" customFormat="1">
      <c r="A601" s="50"/>
      <c r="B601"/>
      <c r="C601" s="51"/>
      <c r="D601" s="51"/>
      <c r="E601" s="51"/>
      <c r="F601"/>
      <c r="G601" s="51"/>
      <c r="H601" s="59"/>
      <c r="I601" s="40"/>
    </row>
    <row r="602" spans="1:9" s="1" customFormat="1">
      <c r="A602"/>
      <c r="B602"/>
      <c r="C602"/>
      <c r="D602"/>
      <c r="E602"/>
      <c r="F602"/>
      <c r="G602" s="40"/>
      <c r="H602" s="40"/>
      <c r="I602" s="57"/>
    </row>
    <row r="603" spans="1:9" s="1" customFormat="1">
      <c r="A603"/>
      <c r="B603"/>
      <c r="C603"/>
      <c r="D603"/>
      <c r="E603"/>
      <c r="F603"/>
      <c r="G603" s="57"/>
      <c r="H603" s="40"/>
      <c r="I603" s="40"/>
    </row>
    <row r="604" spans="1:9" s="1" customFormat="1">
      <c r="A604"/>
      <c r="B604"/>
      <c r="C604"/>
      <c r="D604"/>
      <c r="E604"/>
      <c r="F604"/>
      <c r="G604" s="38"/>
      <c r="H604" s="40"/>
      <c r="I604" s="40"/>
    </row>
    <row r="605" spans="1:9" s="1" customFormat="1">
      <c r="A605"/>
      <c r="B605"/>
      <c r="C605"/>
      <c r="D605"/>
      <c r="E605"/>
      <c r="F605"/>
      <c r="G605" s="60"/>
      <c r="H605" s="40"/>
      <c r="I605" s="40"/>
    </row>
    <row r="606" spans="1:9" s="1" customFormat="1">
      <c r="A606"/>
      <c r="B606"/>
      <c r="C606"/>
      <c r="D606"/>
      <c r="E606"/>
      <c r="F606" s="40"/>
      <c r="G606"/>
      <c r="H606"/>
      <c r="I606"/>
    </row>
    <row r="607" spans="1:9" s="1" customFormat="1">
      <c r="A607" s="52"/>
      <c r="B607"/>
      <c r="C607"/>
      <c r="D607"/>
      <c r="E607"/>
      <c r="F607" s="40"/>
      <c r="G607"/>
      <c r="H607"/>
      <c r="I607"/>
    </row>
    <row r="608" spans="1:9" s="1" customFormat="1">
      <c r="A608"/>
      <c r="B608" s="61"/>
      <c r="C608"/>
      <c r="D608"/>
      <c r="E608"/>
      <c r="F608"/>
      <c r="G608"/>
      <c r="H608"/>
      <c r="I608"/>
    </row>
    <row r="609" spans="1:9" s="1" customFormat="1">
      <c r="A609" s="507"/>
      <c r="B609" s="62"/>
      <c r="C609" s="62"/>
      <c r="D609" s="62"/>
      <c r="E609" s="507"/>
      <c r="F609" s="507"/>
      <c r="G609" s="507"/>
      <c r="H609" s="507"/>
      <c r="I609" s="507"/>
    </row>
    <row r="610" spans="1:9" s="1" customFormat="1">
      <c r="A610" s="507"/>
      <c r="B610" s="62"/>
      <c r="C610" s="62"/>
      <c r="D610" s="62"/>
      <c r="E610" s="62"/>
      <c r="F610" s="62"/>
      <c r="G610" s="508"/>
      <c r="H610" s="508"/>
      <c r="I610" s="508"/>
    </row>
    <row r="611" spans="1:9" s="1" customFormat="1">
      <c r="A611" s="53"/>
      <c r="B611" s="63"/>
      <c r="C611" s="40"/>
      <c r="D611" s="40"/>
      <c r="E611" s="40"/>
      <c r="F611" s="54"/>
      <c r="G611" s="40"/>
      <c r="H611" s="40"/>
      <c r="I611" s="45"/>
    </row>
    <row r="612" spans="1:9" s="1" customFormat="1">
      <c r="A612" s="53"/>
      <c r="B612" s="63"/>
      <c r="C612" s="40"/>
      <c r="D612" s="40"/>
      <c r="E612" s="40"/>
      <c r="F612" s="54"/>
      <c r="G612" s="40"/>
      <c r="H612" s="44"/>
      <c r="I612" s="45"/>
    </row>
    <row r="613" spans="1:9" s="1" customFormat="1">
      <c r="A613" s="53"/>
      <c r="B613" s="63"/>
      <c r="C613" s="40"/>
      <c r="D613" s="40"/>
      <c r="E613" s="40"/>
      <c r="F613" s="54"/>
      <c r="G613" s="40"/>
      <c r="H613" s="44"/>
      <c r="I613"/>
    </row>
    <row r="614" spans="1:9" s="1" customFormat="1">
      <c r="A614" s="53"/>
      <c r="B614" s="63"/>
      <c r="C614" s="40"/>
      <c r="D614" s="40"/>
      <c r="E614" s="40"/>
      <c r="F614" s="54"/>
      <c r="G614" s="40"/>
      <c r="H614" s="44"/>
      <c r="I614" s="45"/>
    </row>
    <row r="615" spans="1:9" s="1" customFormat="1">
      <c r="A615" s="53"/>
      <c r="B615" s="64"/>
      <c r="C615" s="40"/>
      <c r="D615" s="40"/>
      <c r="E615" s="40"/>
      <c r="F615" s="54"/>
      <c r="G615" s="40"/>
      <c r="H615" s="44"/>
      <c r="I615" s="45"/>
    </row>
    <row r="616" spans="1:9" s="1" customFormat="1">
      <c r="A616" s="53"/>
      <c r="B616" s="64"/>
      <c r="C616" s="40"/>
      <c r="D616" s="40"/>
      <c r="E616" s="40"/>
      <c r="F616" s="54"/>
      <c r="G616" s="40"/>
      <c r="H616" s="44"/>
      <c r="I616" s="45"/>
    </row>
    <row r="617" spans="1:9" s="1" customFormat="1">
      <c r="A617" s="53"/>
      <c r="B617" s="64"/>
      <c r="C617" s="40"/>
      <c r="D617" s="40"/>
      <c r="E617" s="40"/>
      <c r="F617" s="54"/>
      <c r="G617" s="40"/>
      <c r="H617" s="44"/>
      <c r="I617" s="45"/>
    </row>
    <row r="618" spans="1:9" s="1" customFormat="1">
      <c r="A618" s="53"/>
      <c r="B618" s="64"/>
      <c r="C618" s="40"/>
      <c r="D618" s="40"/>
      <c r="E618" s="40"/>
      <c r="F618" s="54"/>
      <c r="G618" s="40"/>
      <c r="H618" s="44"/>
      <c r="I618" s="45"/>
    </row>
    <row r="619" spans="1:9" s="1" customFormat="1">
      <c r="A619" s="53"/>
      <c r="B619" s="64"/>
      <c r="C619" s="40"/>
      <c r="D619" s="40"/>
      <c r="E619" s="40"/>
      <c r="F619" s="54"/>
      <c r="G619" s="40"/>
      <c r="H619" s="44"/>
      <c r="I619" s="45"/>
    </row>
    <row r="620" spans="1:9" s="1" customFormat="1">
      <c r="A620" s="53"/>
      <c r="B620" s="64"/>
      <c r="C620" s="40"/>
      <c r="D620" s="40"/>
      <c r="E620" s="40"/>
      <c r="F620" s="54"/>
      <c r="G620" s="40"/>
      <c r="H620" s="44"/>
      <c r="I620" s="45"/>
    </row>
    <row r="621" spans="1:9" s="1" customFormat="1">
      <c r="A621" s="53"/>
      <c r="B621" s="64"/>
      <c r="C621" s="40"/>
      <c r="D621" s="40"/>
      <c r="E621" s="40"/>
      <c r="F621" s="54"/>
      <c r="G621" s="40"/>
      <c r="H621" s="44"/>
      <c r="I621" s="45"/>
    </row>
    <row r="622" spans="1:9" s="1" customFormat="1">
      <c r="A622" s="53"/>
      <c r="B622" s="64"/>
      <c r="C622" s="40"/>
      <c r="D622" s="40"/>
      <c r="E622" s="40"/>
      <c r="F622" s="54"/>
      <c r="G622" s="40"/>
      <c r="H622" s="44"/>
      <c r="I622" s="45"/>
    </row>
    <row r="623" spans="1:9" s="1" customFormat="1">
      <c r="A623" s="53"/>
      <c r="B623" s="64"/>
      <c r="C623" s="40"/>
      <c r="D623" s="40"/>
      <c r="E623" s="40"/>
      <c r="F623" s="54"/>
      <c r="G623" s="40"/>
      <c r="H623" s="44"/>
      <c r="I623" s="45"/>
    </row>
    <row r="624" spans="1:9" s="1" customFormat="1">
      <c r="A624" s="53"/>
      <c r="B624" s="64"/>
      <c r="C624" s="40"/>
      <c r="D624" s="40"/>
      <c r="E624" s="40"/>
      <c r="F624" s="54"/>
      <c r="G624" s="40"/>
      <c r="H624" s="44"/>
      <c r="I624" s="45"/>
    </row>
    <row r="625" spans="1:9" s="1" customFormat="1">
      <c r="A625" s="53"/>
      <c r="B625" s="64"/>
      <c r="C625" s="40"/>
      <c r="D625" s="40"/>
      <c r="E625" s="40"/>
      <c r="F625" s="54"/>
      <c r="G625" s="40"/>
      <c r="H625" s="44"/>
      <c r="I625" s="45"/>
    </row>
    <row r="626" spans="1:9" s="1" customFormat="1">
      <c r="A626" s="53"/>
      <c r="B626" s="64"/>
      <c r="C626" s="40"/>
      <c r="D626" s="40"/>
      <c r="E626" s="40"/>
      <c r="F626" s="54"/>
      <c r="G626" s="40"/>
      <c r="H626" s="44"/>
      <c r="I626" s="45"/>
    </row>
    <row r="627" spans="1:9" s="1" customFormat="1">
      <c r="A627" s="53"/>
      <c r="B627" s="64"/>
      <c r="C627" s="40"/>
      <c r="D627" s="40"/>
      <c r="E627" s="40"/>
      <c r="F627" s="54"/>
      <c r="G627" s="40"/>
      <c r="H627" s="44"/>
      <c r="I627" s="45"/>
    </row>
    <row r="628" spans="1:9" s="1" customFormat="1">
      <c r="A628" s="53"/>
      <c r="B628" s="64"/>
      <c r="C628" s="40"/>
      <c r="D628" s="40"/>
      <c r="E628" s="40"/>
      <c r="F628" s="54"/>
      <c r="G628" s="40"/>
      <c r="H628" s="44"/>
      <c r="I628" s="45"/>
    </row>
    <row r="629" spans="1:9" s="1" customFormat="1">
      <c r="A629" s="53"/>
      <c r="B629" s="64"/>
      <c r="C629" s="40"/>
      <c r="D629" s="40"/>
      <c r="E629" s="40"/>
      <c r="F629" s="54"/>
      <c r="G629" s="40"/>
      <c r="H629" s="44"/>
      <c r="I629" s="45"/>
    </row>
    <row r="630" spans="1:9" s="1" customFormat="1">
      <c r="A630" s="53"/>
      <c r="B630" s="64"/>
      <c r="C630" s="40"/>
      <c r="D630" s="40"/>
      <c r="E630" s="40"/>
      <c r="F630" s="54"/>
      <c r="G630" s="40"/>
      <c r="H630" s="44"/>
      <c r="I630" s="45"/>
    </row>
    <row r="631" spans="1:9" s="1" customFormat="1">
      <c r="A631" s="53"/>
      <c r="B631" s="64"/>
      <c r="C631" s="40"/>
      <c r="D631" s="40"/>
      <c r="E631" s="40"/>
      <c r="F631" s="54"/>
      <c r="G631" s="40"/>
      <c r="H631" s="44"/>
      <c r="I631" s="45"/>
    </row>
    <row r="632" spans="1:9" s="1" customFormat="1">
      <c r="A632" s="53"/>
      <c r="B632" s="64"/>
      <c r="C632" s="40"/>
      <c r="D632" s="40"/>
      <c r="E632" s="40"/>
      <c r="F632" s="54"/>
      <c r="G632" s="40"/>
      <c r="H632" s="44"/>
      <c r="I632" s="45"/>
    </row>
    <row r="633" spans="1:9" s="1" customFormat="1">
      <c r="A633" s="53"/>
      <c r="B633" s="64"/>
      <c r="C633" s="40"/>
      <c r="D633" s="40"/>
      <c r="E633" s="40"/>
      <c r="F633" s="54"/>
      <c r="G633" s="40"/>
      <c r="H633" s="44"/>
      <c r="I633" s="45"/>
    </row>
    <row r="634" spans="1:9" s="1" customFormat="1">
      <c r="A634" s="53"/>
      <c r="B634" s="64"/>
      <c r="C634" s="40"/>
      <c r="D634" s="40"/>
      <c r="E634" s="40"/>
      <c r="F634" s="54"/>
      <c r="G634" s="40"/>
      <c r="H634" s="44"/>
      <c r="I634" s="45"/>
    </row>
    <row r="635" spans="1:9" s="1" customFormat="1">
      <c r="A635" s="53"/>
      <c r="B635" s="64"/>
      <c r="C635" s="40"/>
      <c r="D635" s="40"/>
      <c r="E635" s="40"/>
      <c r="F635" s="54"/>
      <c r="G635" s="40"/>
      <c r="H635" s="44"/>
      <c r="I635" s="45"/>
    </row>
    <row r="636" spans="1:9" s="1" customFormat="1">
      <c r="A636" s="69"/>
      <c r="B636" s="46"/>
      <c r="C636" s="46"/>
      <c r="D636" s="46"/>
      <c r="E636" s="46"/>
      <c r="F636" s="46"/>
      <c r="G636" s="46"/>
      <c r="H636" s="46"/>
      <c r="I636" s="46"/>
    </row>
    <row r="637" spans="1:9" s="1" customFormat="1">
      <c r="A637"/>
      <c r="B637" s="40"/>
      <c r="C637" s="40"/>
      <c r="D637" s="40"/>
      <c r="E637" s="40"/>
      <c r="F637"/>
      <c r="G637"/>
      <c r="H637"/>
      <c r="I637"/>
    </row>
    <row r="638" spans="1:9" s="1" customFormat="1">
      <c r="A638"/>
      <c r="B638"/>
      <c r="C638" s="65"/>
      <c r="D638" s="65"/>
      <c r="E638" s="66"/>
      <c r="F638" s="67"/>
      <c r="G638" s="65"/>
      <c r="H638"/>
      <c r="I638" s="68"/>
    </row>
    <row r="639" spans="1:9" s="1" customFormat="1" ht="12"/>
    <row r="640" spans="1:9" s="1" customFormat="1" ht="12"/>
    <row r="641" spans="1:9" s="1" customFormat="1" ht="20.25">
      <c r="A641" s="506"/>
      <c r="B641" s="563"/>
      <c r="C641" s="563"/>
      <c r="D641" s="147"/>
      <c r="E641" s="43"/>
      <c r="F641" s="43"/>
      <c r="G641" s="43"/>
      <c r="H641" s="43"/>
      <c r="I641" s="43"/>
    </row>
    <row r="642" spans="1:9" s="1" customFormat="1">
      <c r="A642" s="55"/>
      <c r="B642" s="55"/>
      <c r="C642" s="55"/>
      <c r="D642" s="55"/>
      <c r="E642" s="55"/>
      <c r="F642" s="55"/>
      <c r="G642" s="56"/>
      <c r="H642" s="56"/>
      <c r="I642" s="510"/>
    </row>
    <row r="643" spans="1:9" s="1" customFormat="1">
      <c r="A643" s="55"/>
      <c r="B643" s="55"/>
      <c r="C643" s="55"/>
      <c r="D643" s="55"/>
      <c r="E643" s="55"/>
      <c r="F643" s="55"/>
      <c r="G643" s="56"/>
      <c r="H643" s="56"/>
      <c r="I643" s="510"/>
    </row>
    <row r="644" spans="1:9" s="1" customFormat="1">
      <c r="A644"/>
      <c r="B644"/>
      <c r="C644"/>
      <c r="D644"/>
      <c r="E644"/>
      <c r="F644"/>
      <c r="G644"/>
      <c r="H644" s="40"/>
      <c r="I644"/>
    </row>
    <row r="645" spans="1:9" s="1" customFormat="1">
      <c r="A645"/>
      <c r="B645"/>
      <c r="C645"/>
      <c r="D645"/>
      <c r="E645"/>
      <c r="F645"/>
      <c r="G645" s="47"/>
      <c r="H645" s="57"/>
      <c r="I645" s="40"/>
    </row>
    <row r="646" spans="1:9" s="1" customFormat="1">
      <c r="A646"/>
      <c r="B646"/>
      <c r="C646"/>
      <c r="D646"/>
      <c r="E646"/>
      <c r="F646"/>
      <c r="G646" s="48"/>
      <c r="H646" s="57"/>
      <c r="I646" s="40"/>
    </row>
    <row r="647" spans="1:9" s="1" customFormat="1">
      <c r="A647"/>
      <c r="B647"/>
      <c r="C647"/>
      <c r="D647"/>
      <c r="E647"/>
      <c r="F647"/>
      <c r="G647" s="49"/>
      <c r="H647" s="57"/>
      <c r="I647" s="40"/>
    </row>
    <row r="648" spans="1:9" s="1" customFormat="1">
      <c r="A648"/>
      <c r="B648"/>
      <c r="C648"/>
      <c r="D648"/>
      <c r="E648"/>
      <c r="F648"/>
      <c r="G648" s="49"/>
      <c r="H648" s="57"/>
      <c r="I648" s="40"/>
    </row>
    <row r="649" spans="1:9" s="1" customFormat="1">
      <c r="A649"/>
      <c r="B649"/>
      <c r="C649"/>
      <c r="D649"/>
      <c r="E649"/>
      <c r="F649"/>
      <c r="G649" s="49"/>
      <c r="H649" s="57"/>
      <c r="I649" s="40"/>
    </row>
    <row r="650" spans="1:9" s="1" customFormat="1">
      <c r="A650"/>
      <c r="B650"/>
      <c r="C650"/>
      <c r="D650"/>
      <c r="E650"/>
      <c r="F650"/>
      <c r="G650" s="49"/>
      <c r="H650" s="57"/>
      <c r="I650" s="40"/>
    </row>
    <row r="651" spans="1:9" s="1" customFormat="1">
      <c r="A651"/>
      <c r="B651"/>
      <c r="C651"/>
      <c r="D651"/>
      <c r="E651"/>
      <c r="F651"/>
      <c r="G651"/>
      <c r="H651"/>
      <c r="I651"/>
    </row>
    <row r="652" spans="1:9" s="1" customFormat="1">
      <c r="A652" s="55"/>
      <c r="B652" s="55"/>
      <c r="C652" s="55"/>
      <c r="D652" s="55"/>
      <c r="E652" s="55"/>
      <c r="F652" s="55"/>
      <c r="G652" s="509"/>
      <c r="H652" s="58"/>
      <c r="I652" s="58"/>
    </row>
    <row r="653" spans="1:9" s="1" customFormat="1">
      <c r="A653" s="55"/>
      <c r="B653" s="55"/>
      <c r="C653" s="55"/>
      <c r="D653" s="55"/>
      <c r="E653" s="55"/>
      <c r="F653" s="55"/>
      <c r="G653" s="509"/>
      <c r="H653" s="58"/>
      <c r="I653" s="58"/>
    </row>
    <row r="654" spans="1:9" s="1" customFormat="1">
      <c r="A654" s="50"/>
      <c r="B654"/>
      <c r="C654" s="51"/>
      <c r="D654" s="51"/>
      <c r="E654" s="51"/>
      <c r="F654"/>
      <c r="G654" s="51"/>
      <c r="H654" s="59"/>
      <c r="I654" s="40"/>
    </row>
    <row r="655" spans="1:9" s="1" customFormat="1">
      <c r="A655"/>
      <c r="B655"/>
      <c r="C655"/>
      <c r="D655"/>
      <c r="E655"/>
      <c r="F655"/>
      <c r="G655" s="40"/>
      <c r="H655" s="40"/>
      <c r="I655" s="57"/>
    </row>
    <row r="656" spans="1:9" s="1" customFormat="1">
      <c r="A656"/>
      <c r="B656"/>
      <c r="C656"/>
      <c r="D656"/>
      <c r="E656"/>
      <c r="F656"/>
      <c r="G656" s="57"/>
      <c r="H656" s="40"/>
      <c r="I656" s="40"/>
    </row>
    <row r="657" spans="1:9" s="1" customFormat="1">
      <c r="A657"/>
      <c r="B657"/>
      <c r="C657"/>
      <c r="D657"/>
      <c r="E657"/>
      <c r="F657"/>
      <c r="G657" s="38"/>
      <c r="H657" s="40"/>
      <c r="I657" s="40"/>
    </row>
    <row r="658" spans="1:9" s="1" customFormat="1">
      <c r="A658"/>
      <c r="B658"/>
      <c r="C658"/>
      <c r="D658"/>
      <c r="E658"/>
      <c r="F658"/>
      <c r="G658" s="60"/>
      <c r="H658" s="40"/>
      <c r="I658" s="40"/>
    </row>
    <row r="659" spans="1:9" s="1" customFormat="1">
      <c r="A659"/>
      <c r="B659"/>
      <c r="C659"/>
      <c r="D659"/>
      <c r="E659"/>
      <c r="F659" s="40"/>
      <c r="G659"/>
      <c r="H659"/>
      <c r="I659"/>
    </row>
    <row r="660" spans="1:9" s="1" customFormat="1">
      <c r="A660" s="52"/>
      <c r="B660"/>
      <c r="C660"/>
      <c r="D660"/>
      <c r="E660"/>
      <c r="F660" s="40"/>
      <c r="G660"/>
      <c r="H660"/>
      <c r="I660"/>
    </row>
    <row r="661" spans="1:9" s="1" customFormat="1">
      <c r="A661"/>
      <c r="B661" s="61"/>
      <c r="C661"/>
      <c r="D661"/>
      <c r="E661"/>
      <c r="F661"/>
      <c r="G661"/>
      <c r="H661"/>
      <c r="I661"/>
    </row>
    <row r="662" spans="1:9" s="1" customFormat="1">
      <c r="A662" s="507"/>
      <c r="B662" s="62"/>
      <c r="C662" s="62"/>
      <c r="D662" s="62"/>
      <c r="E662" s="507"/>
      <c r="F662" s="507"/>
      <c r="G662" s="507"/>
      <c r="H662" s="507"/>
      <c r="I662" s="507"/>
    </row>
    <row r="663" spans="1:9" s="1" customFormat="1">
      <c r="A663" s="507"/>
      <c r="B663" s="62"/>
      <c r="C663" s="62"/>
      <c r="D663" s="62"/>
      <c r="E663" s="62"/>
      <c r="F663" s="62"/>
      <c r="G663" s="508"/>
      <c r="H663" s="508"/>
      <c r="I663" s="508"/>
    </row>
    <row r="664" spans="1:9" s="1" customFormat="1">
      <c r="A664" s="53"/>
      <c r="B664" s="63"/>
      <c r="C664" s="40"/>
      <c r="D664" s="40"/>
      <c r="E664" s="40"/>
      <c r="F664" s="54"/>
      <c r="G664" s="40"/>
      <c r="H664" s="40"/>
      <c r="I664" s="45"/>
    </row>
    <row r="665" spans="1:9" s="1" customFormat="1">
      <c r="A665" s="53"/>
      <c r="B665" s="63"/>
      <c r="C665" s="40"/>
      <c r="D665" s="40"/>
      <c r="E665" s="40"/>
      <c r="F665" s="54"/>
      <c r="G665" s="40"/>
      <c r="H665" s="44"/>
      <c r="I665" s="45"/>
    </row>
    <row r="666" spans="1:9" s="1" customFormat="1">
      <c r="A666" s="53"/>
      <c r="B666" s="63"/>
      <c r="C666" s="40"/>
      <c r="D666" s="40"/>
      <c r="E666" s="40"/>
      <c r="F666" s="54"/>
      <c r="G666" s="40"/>
      <c r="H666" s="44"/>
      <c r="I666"/>
    </row>
    <row r="667" spans="1:9" s="1" customFormat="1">
      <c r="A667" s="53"/>
      <c r="B667" s="63"/>
      <c r="C667" s="40"/>
      <c r="D667" s="40"/>
      <c r="E667" s="40"/>
      <c r="F667" s="54"/>
      <c r="G667" s="40"/>
      <c r="H667" s="44"/>
      <c r="I667" s="45"/>
    </row>
    <row r="668" spans="1:9" s="1" customFormat="1">
      <c r="A668" s="53"/>
      <c r="B668" s="64"/>
      <c r="C668" s="40"/>
      <c r="D668" s="40"/>
      <c r="E668" s="40"/>
      <c r="F668" s="54"/>
      <c r="G668" s="40"/>
      <c r="H668" s="44"/>
      <c r="I668" s="45"/>
    </row>
    <row r="669" spans="1:9" s="1" customFormat="1">
      <c r="A669" s="53"/>
      <c r="B669" s="64"/>
      <c r="C669" s="40"/>
      <c r="D669" s="40"/>
      <c r="E669" s="40"/>
      <c r="F669" s="54"/>
      <c r="G669" s="40"/>
      <c r="H669" s="44"/>
      <c r="I669" s="45"/>
    </row>
    <row r="670" spans="1:9" s="1" customFormat="1">
      <c r="A670" s="53"/>
      <c r="B670" s="64"/>
      <c r="C670" s="40"/>
      <c r="D670" s="40"/>
      <c r="E670" s="40"/>
      <c r="F670" s="54"/>
      <c r="G670" s="40"/>
      <c r="H670" s="44"/>
      <c r="I670" s="45"/>
    </row>
    <row r="671" spans="1:9" s="1" customFormat="1">
      <c r="A671" s="53"/>
      <c r="B671" s="64"/>
      <c r="C671" s="40"/>
      <c r="D671" s="40"/>
      <c r="E671" s="40"/>
      <c r="F671" s="54"/>
      <c r="G671" s="40"/>
      <c r="H671" s="44"/>
      <c r="I671" s="45"/>
    </row>
    <row r="672" spans="1:9" s="1" customFormat="1">
      <c r="A672" s="53"/>
      <c r="B672" s="64"/>
      <c r="C672" s="40"/>
      <c r="D672" s="40"/>
      <c r="E672" s="40"/>
      <c r="F672" s="54"/>
      <c r="G672" s="40"/>
      <c r="H672" s="44"/>
      <c r="I672" s="45"/>
    </row>
    <row r="673" spans="1:9" s="1" customFormat="1">
      <c r="A673" s="53"/>
      <c r="B673" s="64"/>
      <c r="C673" s="40"/>
      <c r="D673" s="40"/>
      <c r="E673" s="40"/>
      <c r="F673" s="54"/>
      <c r="G673" s="40"/>
      <c r="H673" s="44"/>
      <c r="I673" s="45"/>
    </row>
    <row r="674" spans="1:9" s="1" customFormat="1">
      <c r="A674" s="53"/>
      <c r="B674" s="64"/>
      <c r="C674" s="40"/>
      <c r="D674" s="40"/>
      <c r="E674" s="40"/>
      <c r="F674" s="54"/>
      <c r="G674" s="40"/>
      <c r="H674" s="44"/>
      <c r="I674" s="45"/>
    </row>
    <row r="675" spans="1:9" s="1" customFormat="1">
      <c r="A675" s="53"/>
      <c r="B675" s="64"/>
      <c r="C675" s="40"/>
      <c r="D675" s="40"/>
      <c r="E675" s="40"/>
      <c r="F675" s="54"/>
      <c r="G675" s="40"/>
      <c r="H675" s="44"/>
      <c r="I675" s="45"/>
    </row>
    <row r="676" spans="1:9" s="1" customFormat="1">
      <c r="A676" s="53"/>
      <c r="B676" s="64"/>
      <c r="C676" s="40"/>
      <c r="D676" s="40"/>
      <c r="E676" s="40"/>
      <c r="F676" s="54"/>
      <c r="G676" s="40"/>
      <c r="H676" s="44"/>
      <c r="I676" s="45"/>
    </row>
    <row r="677" spans="1:9" s="1" customFormat="1">
      <c r="A677" s="53"/>
      <c r="B677" s="64"/>
      <c r="C677" s="40"/>
      <c r="D677" s="40"/>
      <c r="E677" s="40"/>
      <c r="F677" s="54"/>
      <c r="G677" s="40"/>
      <c r="H677" s="44"/>
      <c r="I677" s="45"/>
    </row>
    <row r="678" spans="1:9" s="1" customFormat="1">
      <c r="A678" s="53"/>
      <c r="B678" s="64"/>
      <c r="C678" s="40"/>
      <c r="D678" s="40"/>
      <c r="E678" s="40"/>
      <c r="F678" s="54"/>
      <c r="G678" s="40"/>
      <c r="H678" s="44"/>
      <c r="I678" s="45"/>
    </row>
    <row r="679" spans="1:9" s="1" customFormat="1">
      <c r="A679" s="53"/>
      <c r="B679" s="64"/>
      <c r="C679" s="40"/>
      <c r="D679" s="40"/>
      <c r="E679" s="40"/>
      <c r="F679" s="54"/>
      <c r="G679" s="40"/>
      <c r="H679" s="44"/>
      <c r="I679" s="45"/>
    </row>
    <row r="680" spans="1:9" s="1" customFormat="1">
      <c r="A680" s="53"/>
      <c r="B680" s="64"/>
      <c r="C680" s="40"/>
      <c r="D680" s="40"/>
      <c r="E680" s="40"/>
      <c r="F680" s="54"/>
      <c r="G680" s="40"/>
      <c r="H680" s="44"/>
      <c r="I680" s="45"/>
    </row>
    <row r="681" spans="1:9" s="1" customFormat="1">
      <c r="A681" s="53"/>
      <c r="B681" s="64"/>
      <c r="C681" s="40"/>
      <c r="D681" s="40"/>
      <c r="E681" s="40"/>
      <c r="F681" s="54"/>
      <c r="G681" s="40"/>
      <c r="H681" s="44"/>
      <c r="I681" s="45"/>
    </row>
    <row r="682" spans="1:9" s="1" customFormat="1">
      <c r="A682" s="53"/>
      <c r="B682" s="64"/>
      <c r="C682" s="40"/>
      <c r="D682" s="40"/>
      <c r="E682" s="40"/>
      <c r="F682" s="54"/>
      <c r="G682" s="40"/>
      <c r="H682" s="44"/>
      <c r="I682" s="45"/>
    </row>
    <row r="683" spans="1:9" s="1" customFormat="1">
      <c r="A683" s="53"/>
      <c r="B683" s="64"/>
      <c r="C683" s="40"/>
      <c r="D683" s="40"/>
      <c r="E683" s="40"/>
      <c r="F683" s="54"/>
      <c r="G683" s="40"/>
      <c r="H683" s="44"/>
      <c r="I683" s="45"/>
    </row>
    <row r="684" spans="1:9" s="1" customFormat="1">
      <c r="A684" s="53"/>
      <c r="B684" s="64"/>
      <c r="C684" s="40"/>
      <c r="D684" s="40"/>
      <c r="E684" s="40"/>
      <c r="F684" s="54"/>
      <c r="G684" s="40"/>
      <c r="H684" s="44"/>
      <c r="I684" s="45"/>
    </row>
    <row r="685" spans="1:9" s="1" customFormat="1">
      <c r="A685" s="53"/>
      <c r="B685" s="64"/>
      <c r="C685" s="40"/>
      <c r="D685" s="40"/>
      <c r="E685" s="40"/>
      <c r="F685" s="54"/>
      <c r="G685" s="40"/>
      <c r="H685" s="44"/>
      <c r="I685" s="45"/>
    </row>
    <row r="686" spans="1:9" s="1" customFormat="1">
      <c r="A686" s="53"/>
      <c r="B686" s="64"/>
      <c r="C686" s="40"/>
      <c r="D686" s="40"/>
      <c r="E686" s="40"/>
      <c r="F686" s="54"/>
      <c r="G686" s="40"/>
      <c r="H686" s="44"/>
      <c r="I686" s="45"/>
    </row>
    <row r="687" spans="1:9" s="1" customFormat="1">
      <c r="A687" s="53"/>
      <c r="B687" s="64"/>
      <c r="C687" s="40"/>
      <c r="D687" s="40"/>
      <c r="E687" s="40"/>
      <c r="F687" s="54"/>
      <c r="G687" s="40"/>
      <c r="H687" s="44"/>
      <c r="I687" s="45"/>
    </row>
    <row r="688" spans="1:9" s="1" customFormat="1">
      <c r="A688" s="53"/>
      <c r="B688" s="64"/>
      <c r="C688" s="40"/>
      <c r="D688" s="40"/>
      <c r="E688" s="40"/>
      <c r="F688" s="54"/>
      <c r="G688" s="40"/>
      <c r="H688" s="44"/>
      <c r="I688" s="45"/>
    </row>
    <row r="689" spans="1:9" s="1" customFormat="1">
      <c r="A689" s="69"/>
      <c r="B689" s="46"/>
      <c r="C689" s="46"/>
      <c r="D689" s="46"/>
      <c r="E689" s="46"/>
      <c r="F689" s="46"/>
      <c r="G689" s="46"/>
      <c r="H689" s="46"/>
      <c r="I689" s="46"/>
    </row>
    <row r="690" spans="1:9" s="1" customFormat="1">
      <c r="A690"/>
      <c r="B690" s="40"/>
      <c r="C690" s="40"/>
      <c r="D690" s="40"/>
      <c r="E690" s="40"/>
      <c r="F690"/>
      <c r="G690"/>
      <c r="H690"/>
      <c r="I690"/>
    </row>
    <row r="691" spans="1:9" s="1" customFormat="1">
      <c r="A691"/>
      <c r="B691"/>
      <c r="C691" s="65"/>
      <c r="D691" s="65"/>
      <c r="E691" s="66"/>
      <c r="F691" s="67"/>
      <c r="G691" s="65"/>
      <c r="H691"/>
      <c r="I691" s="68"/>
    </row>
    <row r="692" spans="1:9" s="1" customFormat="1" ht="12"/>
    <row r="693" spans="1:9" s="1" customFormat="1" ht="20.25">
      <c r="A693" s="42"/>
      <c r="B693" s="41"/>
      <c r="G693" s="43"/>
      <c r="H693" s="43"/>
      <c r="I693" s="43"/>
    </row>
    <row r="694" spans="1:9" s="1" customFormat="1" ht="20.25">
      <c r="A694" s="506"/>
      <c r="B694" s="563"/>
      <c r="C694" s="563"/>
      <c r="D694" s="147"/>
      <c r="E694" s="43"/>
      <c r="F694" s="43"/>
      <c r="G694" s="43"/>
      <c r="H694" s="43"/>
      <c r="I694" s="43"/>
    </row>
    <row r="695" spans="1:9" s="1" customFormat="1">
      <c r="A695" s="55"/>
      <c r="B695" s="55"/>
      <c r="C695" s="55"/>
      <c r="D695" s="55"/>
      <c r="E695" s="55"/>
      <c r="F695" s="55"/>
      <c r="G695" s="56"/>
      <c r="H695" s="56"/>
      <c r="I695" s="510"/>
    </row>
    <row r="696" spans="1:9" s="1" customFormat="1">
      <c r="A696" s="55"/>
      <c r="B696" s="55"/>
      <c r="C696" s="55"/>
      <c r="D696" s="55"/>
      <c r="E696" s="55"/>
      <c r="F696" s="55"/>
      <c r="G696" s="56"/>
      <c r="H696" s="56"/>
      <c r="I696" s="510"/>
    </row>
    <row r="697" spans="1:9" s="1" customFormat="1">
      <c r="A697"/>
      <c r="B697"/>
      <c r="C697"/>
      <c r="D697"/>
      <c r="E697"/>
      <c r="F697"/>
      <c r="G697"/>
      <c r="H697" s="40"/>
      <c r="I697"/>
    </row>
    <row r="698" spans="1:9" s="1" customFormat="1">
      <c r="A698"/>
      <c r="B698"/>
      <c r="C698"/>
      <c r="D698"/>
      <c r="E698"/>
      <c r="F698"/>
      <c r="G698" s="47"/>
      <c r="H698" s="57"/>
      <c r="I698" s="40"/>
    </row>
    <row r="699" spans="1:9" s="1" customFormat="1">
      <c r="A699"/>
      <c r="B699"/>
      <c r="C699"/>
      <c r="D699"/>
      <c r="E699"/>
      <c r="F699"/>
      <c r="G699" s="48"/>
      <c r="H699" s="57"/>
      <c r="I699" s="40"/>
    </row>
    <row r="700" spans="1:9" s="1" customFormat="1">
      <c r="A700"/>
      <c r="B700"/>
      <c r="C700"/>
      <c r="D700"/>
      <c r="E700"/>
      <c r="F700"/>
      <c r="G700" s="49"/>
      <c r="H700" s="57"/>
      <c r="I700" s="40"/>
    </row>
    <row r="701" spans="1:9" s="1" customFormat="1">
      <c r="A701"/>
      <c r="B701"/>
      <c r="C701"/>
      <c r="D701"/>
      <c r="E701"/>
      <c r="F701"/>
      <c r="G701" s="49"/>
      <c r="H701" s="57"/>
      <c r="I701" s="40"/>
    </row>
    <row r="702" spans="1:9" s="1" customFormat="1">
      <c r="A702"/>
      <c r="B702"/>
      <c r="C702"/>
      <c r="D702"/>
      <c r="E702"/>
      <c r="F702"/>
      <c r="G702" s="49"/>
      <c r="H702" s="57"/>
      <c r="I702" s="40"/>
    </row>
    <row r="703" spans="1:9" s="1" customFormat="1">
      <c r="A703"/>
      <c r="B703"/>
      <c r="C703"/>
      <c r="D703"/>
      <c r="E703"/>
      <c r="F703"/>
      <c r="G703" s="49"/>
      <c r="H703" s="57"/>
      <c r="I703" s="40"/>
    </row>
    <row r="704" spans="1:9" s="1" customFormat="1">
      <c r="A704"/>
      <c r="B704"/>
      <c r="C704"/>
      <c r="D704"/>
      <c r="E704"/>
      <c r="F704"/>
      <c r="G704"/>
      <c r="H704"/>
      <c r="I704"/>
    </row>
    <row r="705" spans="1:9" s="1" customFormat="1">
      <c r="A705" s="55"/>
      <c r="B705" s="55"/>
      <c r="C705" s="55"/>
      <c r="D705" s="55"/>
      <c r="E705" s="55"/>
      <c r="F705" s="55"/>
      <c r="G705" s="509"/>
      <c r="H705" s="58"/>
      <c r="I705" s="58"/>
    </row>
    <row r="706" spans="1:9" s="1" customFormat="1">
      <c r="A706" s="55"/>
      <c r="B706" s="55"/>
      <c r="C706" s="55"/>
      <c r="D706" s="55"/>
      <c r="E706" s="55"/>
      <c r="F706" s="55"/>
      <c r="G706" s="509"/>
      <c r="H706" s="58"/>
      <c r="I706" s="58"/>
    </row>
    <row r="707" spans="1:9" s="1" customFormat="1">
      <c r="A707" s="50"/>
      <c r="B707"/>
      <c r="C707" s="51"/>
      <c r="D707" s="51"/>
      <c r="E707" s="51"/>
      <c r="F707"/>
      <c r="G707" s="51"/>
      <c r="H707" s="59"/>
      <c r="I707" s="40"/>
    </row>
    <row r="708" spans="1:9" s="1" customFormat="1">
      <c r="A708"/>
      <c r="B708"/>
      <c r="C708"/>
      <c r="D708"/>
      <c r="E708"/>
      <c r="F708"/>
      <c r="G708" s="40"/>
      <c r="H708" s="40"/>
      <c r="I708" s="57"/>
    </row>
    <row r="709" spans="1:9" s="1" customFormat="1">
      <c r="A709"/>
      <c r="B709"/>
      <c r="C709"/>
      <c r="D709"/>
      <c r="E709"/>
      <c r="F709"/>
      <c r="G709" s="57"/>
      <c r="H709" s="40"/>
      <c r="I709" s="40"/>
    </row>
    <row r="710" spans="1:9" s="1" customFormat="1">
      <c r="A710"/>
      <c r="B710"/>
      <c r="C710"/>
      <c r="D710"/>
      <c r="E710"/>
      <c r="F710"/>
      <c r="G710" s="38"/>
      <c r="H710" s="40"/>
      <c r="I710" s="40"/>
    </row>
    <row r="711" spans="1:9" s="1" customFormat="1">
      <c r="A711"/>
      <c r="B711"/>
      <c r="C711"/>
      <c r="D711"/>
      <c r="E711"/>
      <c r="F711"/>
      <c r="G711" s="60"/>
      <c r="H711" s="40"/>
      <c r="I711" s="40"/>
    </row>
    <row r="712" spans="1:9" s="1" customFormat="1">
      <c r="A712"/>
      <c r="B712"/>
      <c r="C712"/>
      <c r="D712"/>
      <c r="E712"/>
      <c r="F712" s="40"/>
      <c r="G712"/>
      <c r="H712"/>
      <c r="I712"/>
    </row>
    <row r="713" spans="1:9" s="1" customFormat="1">
      <c r="A713" s="52"/>
      <c r="B713"/>
      <c r="C713"/>
      <c r="D713"/>
      <c r="E713"/>
      <c r="F713" s="40"/>
      <c r="G713"/>
      <c r="H713"/>
      <c r="I713"/>
    </row>
    <row r="714" spans="1:9" s="1" customFormat="1">
      <c r="A714"/>
      <c r="B714" s="61"/>
      <c r="C714"/>
      <c r="D714"/>
      <c r="E714"/>
      <c r="F714"/>
      <c r="G714"/>
      <c r="H714"/>
      <c r="I714"/>
    </row>
    <row r="715" spans="1:9" s="1" customFormat="1">
      <c r="A715" s="507"/>
      <c r="B715" s="62"/>
      <c r="C715" s="62"/>
      <c r="D715" s="62"/>
      <c r="E715" s="507"/>
      <c r="F715" s="507"/>
      <c r="G715" s="507"/>
      <c r="H715" s="507"/>
      <c r="I715" s="507"/>
    </row>
    <row r="716" spans="1:9" s="1" customFormat="1">
      <c r="A716" s="507"/>
      <c r="B716" s="62"/>
      <c r="C716" s="62"/>
      <c r="D716" s="62"/>
      <c r="E716" s="62"/>
      <c r="F716" s="62"/>
      <c r="G716" s="508"/>
      <c r="H716" s="508"/>
      <c r="I716" s="508"/>
    </row>
    <row r="717" spans="1:9" s="1" customFormat="1">
      <c r="A717" s="53"/>
      <c r="B717" s="63"/>
      <c r="C717" s="40"/>
      <c r="D717" s="40"/>
      <c r="E717" s="40"/>
      <c r="F717" s="54"/>
      <c r="G717" s="40"/>
      <c r="H717" s="40"/>
      <c r="I717" s="45"/>
    </row>
    <row r="718" spans="1:9" s="1" customFormat="1">
      <c r="A718" s="53"/>
      <c r="B718" s="63"/>
      <c r="C718" s="40"/>
      <c r="D718" s="40"/>
      <c r="E718" s="40"/>
      <c r="F718" s="54"/>
      <c r="G718" s="40"/>
      <c r="H718" s="44"/>
      <c r="I718" s="45"/>
    </row>
    <row r="719" spans="1:9" s="1" customFormat="1">
      <c r="A719" s="53"/>
      <c r="B719" s="63"/>
      <c r="C719" s="40"/>
      <c r="D719" s="40"/>
      <c r="E719" s="40"/>
      <c r="F719" s="54"/>
      <c r="G719" s="40"/>
      <c r="H719" s="44"/>
      <c r="I719"/>
    </row>
    <row r="720" spans="1:9" s="1" customFormat="1">
      <c r="A720" s="53"/>
      <c r="B720" s="63"/>
      <c r="C720" s="40"/>
      <c r="D720" s="40"/>
      <c r="E720" s="40"/>
      <c r="F720" s="54"/>
      <c r="G720" s="40"/>
      <c r="H720" s="44"/>
      <c r="I720" s="45"/>
    </row>
    <row r="721" spans="1:9" s="1" customFormat="1">
      <c r="A721" s="53"/>
      <c r="B721" s="64"/>
      <c r="C721" s="40"/>
      <c r="D721" s="40"/>
      <c r="E721" s="40"/>
      <c r="F721" s="54"/>
      <c r="G721" s="40"/>
      <c r="H721" s="44"/>
      <c r="I721" s="45"/>
    </row>
    <row r="722" spans="1:9" s="1" customFormat="1">
      <c r="A722" s="53"/>
      <c r="B722" s="64"/>
      <c r="C722" s="40"/>
      <c r="D722" s="40"/>
      <c r="E722" s="40"/>
      <c r="F722" s="54"/>
      <c r="G722" s="40"/>
      <c r="H722" s="44"/>
      <c r="I722" s="45"/>
    </row>
    <row r="723" spans="1:9" s="1" customFormat="1">
      <c r="A723" s="53"/>
      <c r="B723" s="64"/>
      <c r="C723" s="40"/>
      <c r="D723" s="40"/>
      <c r="E723" s="40"/>
      <c r="F723" s="54"/>
      <c r="G723" s="40"/>
      <c r="H723" s="44"/>
      <c r="I723" s="45"/>
    </row>
    <row r="724" spans="1:9" s="1" customFormat="1">
      <c r="A724" s="53"/>
      <c r="B724" s="64"/>
      <c r="C724" s="40"/>
      <c r="D724" s="40"/>
      <c r="E724" s="40"/>
      <c r="F724" s="54"/>
      <c r="G724" s="40"/>
      <c r="H724" s="44"/>
      <c r="I724" s="45"/>
    </row>
    <row r="725" spans="1:9" s="1" customFormat="1">
      <c r="A725" s="53"/>
      <c r="B725" s="64"/>
      <c r="C725" s="40"/>
      <c r="D725" s="40"/>
      <c r="E725" s="40"/>
      <c r="F725" s="54"/>
      <c r="G725" s="40"/>
      <c r="H725" s="44"/>
      <c r="I725" s="45"/>
    </row>
    <row r="726" spans="1:9" s="1" customFormat="1">
      <c r="A726" s="53"/>
      <c r="B726" s="64"/>
      <c r="C726" s="40"/>
      <c r="D726" s="40"/>
      <c r="E726" s="40"/>
      <c r="F726" s="54"/>
      <c r="G726" s="40"/>
      <c r="H726" s="44"/>
      <c r="I726" s="45"/>
    </row>
    <row r="727" spans="1:9" s="1" customFormat="1">
      <c r="A727" s="53"/>
      <c r="B727" s="64"/>
      <c r="C727" s="40"/>
      <c r="D727" s="40"/>
      <c r="E727" s="40"/>
      <c r="F727" s="54"/>
      <c r="G727" s="40"/>
      <c r="H727" s="44"/>
      <c r="I727" s="45"/>
    </row>
    <row r="728" spans="1:9" s="1" customFormat="1">
      <c r="A728" s="53"/>
      <c r="B728" s="64"/>
      <c r="C728" s="40"/>
      <c r="D728" s="40"/>
      <c r="E728" s="40"/>
      <c r="F728" s="54"/>
      <c r="G728" s="40"/>
      <c r="H728" s="44"/>
      <c r="I728" s="45"/>
    </row>
    <row r="729" spans="1:9" s="1" customFormat="1">
      <c r="A729" s="53"/>
      <c r="B729" s="64"/>
      <c r="C729" s="40"/>
      <c r="D729" s="40"/>
      <c r="E729" s="40"/>
      <c r="F729" s="54"/>
      <c r="G729" s="40"/>
      <c r="H729" s="44"/>
      <c r="I729" s="45"/>
    </row>
    <row r="730" spans="1:9" s="1" customFormat="1">
      <c r="A730" s="53"/>
      <c r="B730" s="64"/>
      <c r="C730" s="40"/>
      <c r="D730" s="40"/>
      <c r="E730" s="40"/>
      <c r="F730" s="54"/>
      <c r="G730" s="40"/>
      <c r="H730" s="44"/>
      <c r="I730" s="45"/>
    </row>
    <row r="731" spans="1:9" s="1" customFormat="1">
      <c r="A731" s="53"/>
      <c r="B731" s="64"/>
      <c r="C731" s="40"/>
      <c r="D731" s="40"/>
      <c r="E731" s="40"/>
      <c r="F731" s="54"/>
      <c r="G731" s="40"/>
      <c r="H731" s="44"/>
      <c r="I731" s="45"/>
    </row>
    <row r="732" spans="1:9" s="1" customFormat="1">
      <c r="A732" s="53"/>
      <c r="B732" s="64"/>
      <c r="C732" s="40"/>
      <c r="D732" s="40"/>
      <c r="E732" s="40"/>
      <c r="F732" s="54"/>
      <c r="G732" s="40"/>
      <c r="H732" s="44"/>
      <c r="I732" s="45"/>
    </row>
    <row r="733" spans="1:9" s="1" customFormat="1">
      <c r="A733" s="53"/>
      <c r="B733" s="64"/>
      <c r="C733" s="40"/>
      <c r="D733" s="40"/>
      <c r="E733" s="40"/>
      <c r="F733" s="54"/>
      <c r="G733" s="40"/>
      <c r="H733" s="44"/>
      <c r="I733" s="45"/>
    </row>
    <row r="734" spans="1:9" s="1" customFormat="1">
      <c r="A734" s="53"/>
      <c r="B734" s="64"/>
      <c r="C734" s="40"/>
      <c r="D734" s="40"/>
      <c r="E734" s="40"/>
      <c r="F734" s="54"/>
      <c r="G734" s="40"/>
      <c r="H734" s="44"/>
      <c r="I734" s="45"/>
    </row>
    <row r="735" spans="1:9" s="1" customFormat="1">
      <c r="A735" s="53"/>
      <c r="B735" s="64"/>
      <c r="C735" s="40"/>
      <c r="D735" s="40"/>
      <c r="E735" s="40"/>
      <c r="F735" s="54"/>
      <c r="G735" s="40"/>
      <c r="H735" s="44"/>
      <c r="I735" s="45"/>
    </row>
    <row r="736" spans="1:9" s="1" customFormat="1">
      <c r="A736" s="53"/>
      <c r="B736" s="64"/>
      <c r="C736" s="40"/>
      <c r="D736" s="40"/>
      <c r="E736" s="40"/>
      <c r="F736" s="54"/>
      <c r="G736" s="40"/>
      <c r="H736" s="44"/>
      <c r="I736" s="45"/>
    </row>
    <row r="737" spans="1:9" s="1" customFormat="1">
      <c r="A737" s="53"/>
      <c r="B737" s="64"/>
      <c r="C737" s="40"/>
      <c r="D737" s="40"/>
      <c r="E737" s="40"/>
      <c r="F737" s="54"/>
      <c r="G737" s="40"/>
      <c r="H737" s="44"/>
      <c r="I737" s="45"/>
    </row>
    <row r="738" spans="1:9" s="1" customFormat="1">
      <c r="A738" s="53"/>
      <c r="B738" s="64"/>
      <c r="C738" s="40"/>
      <c r="D738" s="40"/>
      <c r="E738" s="40"/>
      <c r="F738" s="54"/>
      <c r="G738" s="40"/>
      <c r="H738" s="44"/>
      <c r="I738" s="45"/>
    </row>
    <row r="739" spans="1:9" s="1" customFormat="1">
      <c r="A739" s="53"/>
      <c r="B739" s="64"/>
      <c r="C739" s="40"/>
      <c r="D739" s="40"/>
      <c r="E739" s="40"/>
      <c r="F739" s="54"/>
      <c r="G739" s="40"/>
      <c r="H739" s="44"/>
      <c r="I739" s="45"/>
    </row>
    <row r="740" spans="1:9" s="1" customFormat="1">
      <c r="A740" s="53"/>
      <c r="B740" s="64"/>
      <c r="C740" s="40"/>
      <c r="D740" s="40"/>
      <c r="E740" s="40"/>
      <c r="F740" s="54"/>
      <c r="G740" s="40"/>
      <c r="H740" s="44"/>
      <c r="I740" s="45"/>
    </row>
    <row r="741" spans="1:9" s="1" customFormat="1">
      <c r="A741" s="53"/>
      <c r="B741" s="64"/>
      <c r="C741" s="40"/>
      <c r="D741" s="40"/>
      <c r="E741" s="40"/>
      <c r="F741" s="54"/>
      <c r="G741" s="40"/>
      <c r="H741" s="44"/>
      <c r="I741" s="45"/>
    </row>
    <row r="742" spans="1:9" s="1" customFormat="1">
      <c r="A742" s="69"/>
      <c r="B742" s="46"/>
      <c r="C742" s="46"/>
      <c r="D742" s="46"/>
      <c r="E742" s="46"/>
      <c r="F742" s="46"/>
      <c r="G742" s="46"/>
      <c r="H742" s="46"/>
      <c r="I742" s="46"/>
    </row>
    <row r="743" spans="1:9" s="1" customFormat="1">
      <c r="A743"/>
      <c r="B743" s="40"/>
      <c r="C743" s="40"/>
      <c r="D743" s="40"/>
      <c r="E743" s="40"/>
      <c r="F743"/>
      <c r="G743"/>
      <c r="H743"/>
      <c r="I743"/>
    </row>
    <row r="744" spans="1:9" s="1" customFormat="1">
      <c r="A744"/>
      <c r="B744"/>
      <c r="C744" s="65"/>
      <c r="D744" s="65"/>
      <c r="E744" s="66"/>
      <c r="F744" s="67"/>
      <c r="G744" s="65"/>
      <c r="H744"/>
      <c r="I744" s="68"/>
    </row>
    <row r="745" spans="1:9" s="1" customFormat="1" ht="12"/>
  </sheetData>
  <mergeCells count="89">
    <mergeCell ref="G221:G222"/>
    <mergeCell ref="B3:C3"/>
    <mergeCell ref="E3:F3"/>
    <mergeCell ref="G3:H3"/>
    <mergeCell ref="I3:J3"/>
    <mergeCell ref="O3:P3"/>
    <mergeCell ref="Q3:R3"/>
    <mergeCell ref="S3:T3"/>
    <mergeCell ref="A210:C210"/>
    <mergeCell ref="I211:I212"/>
    <mergeCell ref="K3:L3"/>
    <mergeCell ref="M3:N3"/>
    <mergeCell ref="H231:H232"/>
    <mergeCell ref="I231:I232"/>
    <mergeCell ref="I265:I266"/>
    <mergeCell ref="G275:G276"/>
    <mergeCell ref="A285:A286"/>
    <mergeCell ref="E285:F285"/>
    <mergeCell ref="G285:G286"/>
    <mergeCell ref="H285:H286"/>
    <mergeCell ref="I285:I286"/>
    <mergeCell ref="A264:C264"/>
    <mergeCell ref="A231:A232"/>
    <mergeCell ref="E231:F231"/>
    <mergeCell ref="G231:G232"/>
    <mergeCell ref="A319:C319"/>
    <mergeCell ref="I320:I321"/>
    <mergeCell ref="G330:G331"/>
    <mergeCell ref="A340:A341"/>
    <mergeCell ref="E340:F340"/>
    <mergeCell ref="G340:G341"/>
    <mergeCell ref="H340:H341"/>
    <mergeCell ref="I340:I341"/>
    <mergeCell ref="A372:C372"/>
    <mergeCell ref="I373:I374"/>
    <mergeCell ref="G383:G384"/>
    <mergeCell ref="A393:A394"/>
    <mergeCell ref="E393:F393"/>
    <mergeCell ref="G393:G394"/>
    <mergeCell ref="H393:H394"/>
    <mergeCell ref="I393:I394"/>
    <mergeCell ref="A426:C426"/>
    <mergeCell ref="I427:I428"/>
    <mergeCell ref="G437:G438"/>
    <mergeCell ref="A447:A448"/>
    <mergeCell ref="E447:F447"/>
    <mergeCell ref="G447:G448"/>
    <mergeCell ref="H447:H448"/>
    <mergeCell ref="I447:I448"/>
    <mergeCell ref="A480:C480"/>
    <mergeCell ref="I481:I482"/>
    <mergeCell ref="G491:G492"/>
    <mergeCell ref="A501:A502"/>
    <mergeCell ref="E501:F501"/>
    <mergeCell ref="G501:G502"/>
    <mergeCell ref="H501:H502"/>
    <mergeCell ref="I501:I502"/>
    <mergeCell ref="A534:C534"/>
    <mergeCell ref="I535:I536"/>
    <mergeCell ref="G545:G546"/>
    <mergeCell ref="A555:A556"/>
    <mergeCell ref="E555:F555"/>
    <mergeCell ref="G555:G556"/>
    <mergeCell ref="H555:H556"/>
    <mergeCell ref="I555:I556"/>
    <mergeCell ref="A588:C588"/>
    <mergeCell ref="I589:I590"/>
    <mergeCell ref="G599:G600"/>
    <mergeCell ref="A609:A610"/>
    <mergeCell ref="E609:F609"/>
    <mergeCell ref="G609:G610"/>
    <mergeCell ref="H609:H610"/>
    <mergeCell ref="I609:I610"/>
    <mergeCell ref="A641:C641"/>
    <mergeCell ref="I642:I643"/>
    <mergeCell ref="G652:G653"/>
    <mergeCell ref="A662:A663"/>
    <mergeCell ref="E662:F662"/>
    <mergeCell ref="G662:G663"/>
    <mergeCell ref="H662:H663"/>
    <mergeCell ref="I662:I663"/>
    <mergeCell ref="A694:C694"/>
    <mergeCell ref="I695:I696"/>
    <mergeCell ref="G705:G706"/>
    <mergeCell ref="A715:A716"/>
    <mergeCell ref="E715:F715"/>
    <mergeCell ref="G715:G716"/>
    <mergeCell ref="H715:H716"/>
    <mergeCell ref="I715:I716"/>
  </mergeCells>
  <pageMargins left="0.75" right="0.75" top="1" bottom="1" header="0.5" footer="0.5"/>
  <pageSetup paperSize="8" scale="3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6</vt:i4>
      </vt:variant>
    </vt:vector>
  </HeadingPairs>
  <TitlesOfParts>
    <vt:vector size="13" baseType="lpstr">
      <vt:lpstr>Słowniczek</vt:lpstr>
      <vt:lpstr>Założenia</vt:lpstr>
      <vt:lpstr>Opcje</vt:lpstr>
      <vt:lpstr>przychody</vt:lpstr>
      <vt:lpstr>Scenariusz bazowy</vt:lpstr>
      <vt:lpstr>Wariant konwencjonalny</vt:lpstr>
      <vt:lpstr>Wariant elektryczny</vt:lpstr>
      <vt:lpstr>'Scenariusz bazowy'!Obszar_wydruku</vt:lpstr>
      <vt:lpstr>'Wariant elektryczny'!Obszar_wydruku</vt:lpstr>
      <vt:lpstr>'Wariant konwencjonalny'!Obszar_wydruku</vt:lpstr>
      <vt:lpstr>'Scenariusz bazowy'!Tytuły_wydruku</vt:lpstr>
      <vt:lpstr>'Wariant elektryczny'!Tytuły_wydruku</vt:lpstr>
      <vt:lpstr>'Wariant konwencjonalny'!Tytuły_wydruku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kurowski</dc:creator>
  <cp:lastModifiedBy>Marcin Gromadzki</cp:lastModifiedBy>
  <cp:lastPrinted>2017-05-12T08:09:10Z</cp:lastPrinted>
  <dcterms:created xsi:type="dcterms:W3CDTF">2007-01-05T07:26:23Z</dcterms:created>
  <dcterms:modified xsi:type="dcterms:W3CDTF">2024-01-04T18:47:29Z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2021-07-14T16:31:00Z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475ec856-bb97-4d0f-8966-18cfcc9a5ebe</vt:lpwstr>
  </property>
  <property fmtid="{D5CDD505-2E9C-101B-9397-08002B2CF9AE}" pid="8" name="MSIP_Label_43f08ec5-d6d9-4227-8387-ccbfcb3632c4_ContentBits">
    <vt:lpwstr>0</vt:lpwstr>
  </property>
</Properties>
</file>